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 6mI+mI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Aferdita</author>
    <author>Aferdita Bushi</author>
  </authors>
  <commentList>
    <comment ref="K13" authorId="0">
      <text>
        <r>
          <rPr>
            <b/>
            <sz val="9"/>
            <rFont val="Tahoma"/>
            <family val="2"/>
          </rPr>
          <t>Aferdita:</t>
        </r>
        <r>
          <rPr>
            <sz val="9"/>
            <rFont val="Tahoma"/>
            <family val="2"/>
          </rPr>
          <t xml:space="preserve">
derdhje per llogari te deb. Se A-91, I mbyllur I gjithe detyrimi.</t>
        </r>
      </text>
    </comment>
    <comment ref="AI13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alesio-14, 40000.pg.rreg. Qe ne fakti ben per 2 lic. Tregtimi ( sipas hec.te lic.)</t>
        </r>
      </text>
    </comment>
    <comment ref="AF17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272000, is boja e printerave e parapaguar</t>
        </r>
      </text>
    </comment>
    <comment ref="R19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taksa automjete+takse vendore</t>
        </r>
      </text>
    </comment>
    <comment ref="R23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625.4 is 8471282.83lek
581 blerje valute is 10433600lek</t>
        </r>
      </text>
    </comment>
    <comment ref="BA23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gjendje e tep.ne lek tek ditari eurove me vlere 12662.88eur.(123.42)kk</t>
        </r>
      </text>
    </comment>
    <comment ref="AS24" authorId="1">
      <text>
        <r>
          <rPr>
            <b/>
            <sz val="9"/>
            <rFont val="Tahoma"/>
            <family val="0"/>
          </rPr>
          <t>Aferdita Bushi:</t>
        </r>
        <r>
          <rPr>
            <sz val="9"/>
            <rFont val="Tahoma"/>
            <family val="0"/>
          </rPr>
          <t xml:space="preserve">
fakti i mbylljes Marrveshje Kuader </t>
        </r>
      </text>
    </comment>
    <comment ref="AF32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KTHIM PAG.LICENSE.</t>
        </r>
      </text>
    </comment>
    <comment ref="R33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kalim fond page per punonjesit union banke</t>
        </r>
      </text>
    </comment>
    <comment ref="K36" authorId="0">
      <text>
        <r>
          <rPr>
            <b/>
            <sz val="9"/>
            <rFont val="Tahoma"/>
            <family val="2"/>
          </rPr>
          <t>Aferdita:</t>
        </r>
        <r>
          <rPr>
            <sz val="9"/>
            <rFont val="Tahoma"/>
            <family val="2"/>
          </rPr>
          <t xml:space="preserve">
derdhje e tep. Pra shpenz.yne dhe 55000 mbetet tek ne e ardhur tek pag.rreg.is shlyerje debie A-91</t>
        </r>
      </text>
    </comment>
    <comment ref="R38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CEQET E ARKETUAR NE ARKEN LEK NGA VANA</t>
        </r>
      </text>
    </comment>
    <comment ref="AO46" authorId="1">
      <text>
        <r>
          <rPr>
            <b/>
            <sz val="9"/>
            <rFont val="Tahoma"/>
            <family val="2"/>
          </rPr>
          <t>Aferdita Bushi:</t>
        </r>
        <r>
          <rPr>
            <sz val="9"/>
            <rFont val="Tahoma"/>
            <family val="2"/>
          </rPr>
          <t xml:space="preserve">
te ardhurat zeri analitik</t>
        </r>
      </text>
    </comment>
  </commentList>
</comments>
</file>

<file path=xl/sharedStrings.xml><?xml version="1.0" encoding="utf-8"?>
<sst xmlns="http://schemas.openxmlformats.org/spreadsheetml/2006/main" count="136" uniqueCount="90">
  <si>
    <t>Banka Kombetare  Tregtare</t>
  </si>
  <si>
    <t>llogarite kontabel</t>
  </si>
  <si>
    <t>Raiffeisen</t>
  </si>
  <si>
    <t>Union  Bank</t>
  </si>
  <si>
    <t>totali shpenzimi</t>
  </si>
  <si>
    <t>Situacioni  12-mujori 2017</t>
  </si>
  <si>
    <t>Viti 2018</t>
  </si>
  <si>
    <t>Progresi    6 mujore</t>
  </si>
  <si>
    <t>Progresi   12 mujore 2018</t>
  </si>
  <si>
    <t>Viti 2019</t>
  </si>
  <si>
    <t>Progresi   12 mujore</t>
  </si>
  <si>
    <t>Nr.</t>
  </si>
  <si>
    <t xml:space="preserve">E  m  ë  r  t  i  m  i  </t>
  </si>
  <si>
    <t>Viti 2017</t>
  </si>
  <si>
    <t>Union          Bank</t>
  </si>
  <si>
    <t>Plan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</si>
  <si>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</si>
  <si>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</si>
  <si>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</si>
  <si>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</si>
  <si>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</si>
  <si>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</si>
  <si>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</si>
  <si>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</si>
  <si>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</si>
  <si>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</si>
  <si>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</si>
  <si>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</si>
  <si>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I</t>
  </si>
  <si>
    <t>GJENDJA E LIKUJDITETIT ME 1/01/</t>
  </si>
  <si>
    <t>II</t>
  </si>
  <si>
    <t xml:space="preserve">TË  ARDHURAT E VITIT </t>
  </si>
  <si>
    <t>Nga pagesat e rregullimit  te liçensuarve</t>
  </si>
  <si>
    <t>a)</t>
  </si>
  <si>
    <t>KESH sh.a + OST sh.a+ OSSH( 482)</t>
  </si>
  <si>
    <t>b)</t>
  </si>
  <si>
    <t>Operatorët e tjerë</t>
  </si>
  <si>
    <t>c)</t>
  </si>
  <si>
    <t>Per te arket.detyrime të prapamb.nga te liçensuarit</t>
  </si>
  <si>
    <t>411 deb.</t>
  </si>
  <si>
    <t>Nga interesa bankare shit,dok,dif.kemb,kuot.bashk.</t>
  </si>
  <si>
    <t>Te ardhura nga licenca</t>
  </si>
  <si>
    <t>752/411.2</t>
  </si>
  <si>
    <t>Derdhje teper nga pg.erregullimit</t>
  </si>
  <si>
    <t>Derdhje gjoba Cezit  Min.Finc.te tjera, tel.cel</t>
  </si>
  <si>
    <t>626,47</t>
  </si>
  <si>
    <t>III</t>
  </si>
  <si>
    <t>SHPENZIME OPERATIVE TE VITIT</t>
  </si>
  <si>
    <t>Blerje energji,avull,ujë</t>
  </si>
  <si>
    <t>OK</t>
  </si>
  <si>
    <t>Blerje materiale të tjera (karburante,kancelari etj)</t>
  </si>
  <si>
    <t>Mirëmbajtje dhe riparime</t>
  </si>
  <si>
    <t>Prime sigurimi auto., taksa , tpl</t>
  </si>
  <si>
    <t>ok</t>
  </si>
  <si>
    <t>Sherbime nga të tretë</t>
  </si>
  <si>
    <t>Pagesa per konsulenca dhe zhvillimin e partnershipit</t>
  </si>
  <si>
    <t>Publikime për informimin dhe mbrojtjen e konsum.</t>
  </si>
  <si>
    <t>Udhëtime e dieta</t>
  </si>
  <si>
    <t>shpenzim bilet  udhetimi</t>
  </si>
  <si>
    <t>Shpenzime për post-telefon</t>
  </si>
  <si>
    <t>Komisione bankare</t>
  </si>
  <si>
    <t>Paga personeli, , pag.j.kohes.</t>
  </si>
  <si>
    <t>Shpenz.  sigurime shoqërore, tatimi</t>
  </si>
  <si>
    <t>Shpenzime për pritje e percjellje</t>
  </si>
  <si>
    <t>Shpenzim trajnim  personeli</t>
  </si>
  <si>
    <t>Subvencione e ndihma të dhëna,  gjobe Cez</t>
  </si>
  <si>
    <t>Shpenzime të tjera financiare(h.nga shk.val. etj)</t>
  </si>
  <si>
    <t xml:space="preserve">kalim fondi Union Bank,raifeissen </t>
  </si>
  <si>
    <t>fond rezerve</t>
  </si>
  <si>
    <t>Demshperblim   INSIGU</t>
  </si>
  <si>
    <t xml:space="preserve">Pagesa kreditoresh,kalim mjetesh fin. </t>
  </si>
  <si>
    <t xml:space="preserve">Shpenzime amortizimi, </t>
  </si>
  <si>
    <t>terheqje ceku</t>
  </si>
  <si>
    <t>IV.</t>
  </si>
  <si>
    <t>Totali    shpenzimeve</t>
  </si>
  <si>
    <t>INVESTIME</t>
  </si>
  <si>
    <t>Paisje zyre dhe informatike</t>
  </si>
  <si>
    <t>Mjete transporti</t>
  </si>
  <si>
    <t>V.</t>
  </si>
  <si>
    <t>Rikonstruksione dhe investime te tjera</t>
  </si>
  <si>
    <r>
      <t>GJENDJA E LIKUJDITETIT ME 31/12/</t>
    </r>
    <r>
      <rPr>
        <sz val="8"/>
        <rFont val="Times New Roman"/>
        <family val="1"/>
      </rPr>
      <t>(V=I+II-III-IV)</t>
    </r>
  </si>
  <si>
    <t>tep.filles</t>
  </si>
  <si>
    <t>prova</t>
  </si>
  <si>
    <t>ardhura</t>
  </si>
  <si>
    <t>shpenz.</t>
  </si>
  <si>
    <t xml:space="preserve"> </t>
  </si>
  <si>
    <t>teprica</t>
  </si>
  <si>
    <t>investim</t>
  </si>
  <si>
    <t>6-mujori I</t>
  </si>
  <si>
    <t>prog.12-mujori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</si>
</sst>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sz val="8"/>
      <name val="Times New Roman"/>
      <family val="1"/>
    </font>
    <font>
      <sz val="8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sz val="8"/>
      <color indexed="54"/>
      <name val="Arial"/>
      <family val="2"/>
    </font>
    <font>
      <sz val="8"/>
      <color indexed="17"/>
      <name val="Arial Narrow"/>
      <family val="2"/>
    </font>
    <font>
      <sz val="7"/>
      <name val="Garamond"/>
      <family val="1"/>
    </font>
    <font>
      <sz val="7"/>
      <color indexed="10"/>
      <name val="Arial Narrow"/>
      <family val="2"/>
    </font>
    <font>
      <b/>
      <sz val="7"/>
      <name val="Garamond"/>
      <family val="1"/>
    </font>
    <font>
      <sz val="9"/>
      <name val="Times New Roman"/>
      <family val="1"/>
    </font>
    <font>
      <b/>
      <sz val="7"/>
      <color indexed="17"/>
      <name val="Garamond"/>
      <family val="1"/>
    </font>
    <font>
      <sz val="8"/>
      <color indexed="30"/>
      <name val="Arial Narrow"/>
      <family val="2"/>
    </font>
    <font>
      <sz val="8"/>
      <color indexed="10"/>
      <name val="Times New Roman"/>
      <family val="1"/>
    </font>
    <font>
      <sz val="8"/>
      <color indexed="10"/>
      <name val="Arial Narrow"/>
      <family val="2"/>
    </font>
    <font>
      <b/>
      <i/>
      <sz val="8"/>
      <color indexed="10"/>
      <name val="Arial Narrow"/>
      <family val="2"/>
    </font>
    <font>
      <b/>
      <sz val="7"/>
      <color indexed="10"/>
      <name val="Arial Narrow"/>
      <family val="2"/>
    </font>
    <font>
      <b/>
      <sz val="8"/>
      <color indexed="57"/>
      <name val="Arial Narrow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  <font>
      <sz val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Garamond"/>
      <family val="1"/>
    </font>
    <font>
      <sz val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3" tint="0.39998000860214233"/>
      <name val="Arial"/>
      <family val="2"/>
    </font>
    <font>
      <sz val="8"/>
      <color rgb="FF00B050"/>
      <name val="Arial Narrow"/>
      <family val="2"/>
    </font>
    <font>
      <sz val="7"/>
      <color rgb="FFFF0000"/>
      <name val="Arial Narrow"/>
      <family val="2"/>
    </font>
    <font>
      <b/>
      <sz val="7"/>
      <color rgb="FF00B050"/>
      <name val="Garamond"/>
      <family val="1"/>
    </font>
    <font>
      <sz val="8"/>
      <color rgb="FF0070C0"/>
      <name val="Arial Narrow"/>
      <family val="2"/>
    </font>
    <font>
      <sz val="8"/>
      <color rgb="FFFF0000"/>
      <name val="Times New Roman"/>
      <family val="1"/>
    </font>
    <font>
      <sz val="8"/>
      <color rgb="FFFF0000"/>
      <name val="Arial Narrow"/>
      <family val="2"/>
    </font>
    <font>
      <b/>
      <i/>
      <sz val="8"/>
      <color rgb="FFFF0000"/>
      <name val="Arial Narrow"/>
      <family val="2"/>
    </font>
    <font>
      <b/>
      <sz val="7"/>
      <color rgb="FFFF0000"/>
      <name val="Arial Narrow"/>
      <family val="2"/>
    </font>
    <font>
      <b/>
      <sz val="8"/>
      <color theme="9" tint="-0.24997000396251678"/>
      <name val="Arial Narrow"/>
      <family val="2"/>
    </font>
    <font>
      <sz val="8"/>
      <color rgb="FF00B050"/>
      <name val="Arial"/>
      <family val="2"/>
    </font>
    <font>
      <sz val="8"/>
      <color theme="9" tint="-0.2499700039625167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/>
    </xf>
    <xf numFmtId="3" fontId="1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3" fontId="7" fillId="0" borderId="1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7" fillId="0" borderId="13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3" fontId="11" fillId="0" borderId="12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12" xfId="0" applyBorder="1" applyAlignment="1">
      <alignment/>
    </xf>
    <xf numFmtId="3" fontId="14" fillId="0" borderId="14" xfId="0" applyNumberFormat="1" applyFont="1" applyBorder="1" applyAlignment="1">
      <alignment/>
    </xf>
    <xf numFmtId="3" fontId="11" fillId="16" borderId="14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8" xfId="0" applyFont="1" applyBorder="1" applyAlignment="1">
      <alignment/>
    </xf>
    <xf numFmtId="3" fontId="16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3" fontId="16" fillId="0" borderId="0" xfId="0" applyNumberFormat="1" applyFont="1" applyAlignment="1">
      <alignment/>
    </xf>
    <xf numFmtId="3" fontId="17" fillId="0" borderId="1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5" fillId="0" borderId="14" xfId="0" applyFont="1" applyBorder="1" applyAlignment="1">
      <alignment horizontal="right"/>
    </xf>
    <xf numFmtId="3" fontId="17" fillId="16" borderId="18" xfId="0" applyNumberFormat="1" applyFont="1" applyFill="1" applyBorder="1" applyAlignment="1">
      <alignment/>
    </xf>
    <xf numFmtId="3" fontId="17" fillId="33" borderId="14" xfId="0" applyNumberFormat="1" applyFont="1" applyFill="1" applyBorder="1" applyAlignment="1">
      <alignment/>
    </xf>
    <xf numFmtId="3" fontId="11" fillId="16" borderId="1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77" fillId="0" borderId="14" xfId="0" applyFont="1" applyBorder="1" applyAlignment="1">
      <alignment horizontal="right"/>
    </xf>
    <xf numFmtId="3" fontId="78" fillId="0" borderId="14" xfId="0" applyNumberFormat="1" applyFont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0" fillId="0" borderId="20" xfId="0" applyBorder="1" applyAlignment="1">
      <alignment/>
    </xf>
    <xf numFmtId="3" fontId="16" fillId="0" borderId="16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78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1" fillId="16" borderId="16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77" fillId="0" borderId="16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78" fillId="0" borderId="13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11" fillId="33" borderId="13" xfId="0" applyNumberFormat="1" applyFont="1" applyFill="1" applyBorder="1" applyAlignment="1">
      <alignment/>
    </xf>
    <xf numFmtId="3" fontId="21" fillId="0" borderId="12" xfId="0" applyNumberFormat="1" applyFont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79" fillId="0" borderId="14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3" fontId="11" fillId="34" borderId="14" xfId="0" applyNumberFormat="1" applyFont="1" applyFill="1" applyBorder="1" applyAlignment="1">
      <alignment/>
    </xf>
    <xf numFmtId="3" fontId="23" fillId="0" borderId="14" xfId="0" applyNumberFormat="1" applyFont="1" applyBorder="1" applyAlignment="1">
      <alignment/>
    </xf>
    <xf numFmtId="4" fontId="11" fillId="34" borderId="14" xfId="0" applyNumberFormat="1" applyFont="1" applyFill="1" applyBorder="1" applyAlignment="1">
      <alignment/>
    </xf>
    <xf numFmtId="4" fontId="11" fillId="33" borderId="14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24" fillId="0" borderId="18" xfId="0" applyFont="1" applyBorder="1" applyAlignment="1">
      <alignment/>
    </xf>
    <xf numFmtId="3" fontId="80" fillId="0" borderId="14" xfId="0" applyNumberFormat="1" applyFont="1" applyBorder="1" applyAlignment="1">
      <alignment/>
    </xf>
    <xf numFmtId="3" fontId="81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3" fontId="0" fillId="0" borderId="0" xfId="0" applyNumberFormat="1" applyAlignment="1">
      <alignment/>
    </xf>
    <xf numFmtId="0" fontId="82" fillId="0" borderId="18" xfId="0" applyFont="1" applyBorder="1" applyAlignment="1">
      <alignment/>
    </xf>
    <xf numFmtId="3" fontId="83" fillId="33" borderId="14" xfId="0" applyNumberFormat="1" applyFont="1" applyFill="1" applyBorder="1" applyAlignment="1">
      <alignment/>
    </xf>
    <xf numFmtId="3" fontId="83" fillId="0" borderId="14" xfId="0" applyNumberFormat="1" applyFont="1" applyBorder="1" applyAlignment="1">
      <alignment/>
    </xf>
    <xf numFmtId="3" fontId="84" fillId="0" borderId="14" xfId="0" applyNumberFormat="1" applyFont="1" applyBorder="1" applyAlignment="1">
      <alignment/>
    </xf>
    <xf numFmtId="3" fontId="85" fillId="16" borderId="14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3" fontId="18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0" fontId="0" fillId="0" borderId="0" xfId="0" applyNumberFormat="1" applyAlignment="1">
      <alignment/>
    </xf>
    <xf numFmtId="3" fontId="86" fillId="33" borderId="14" xfId="0" applyNumberFormat="1" applyFont="1" applyFill="1" applyBorder="1" applyAlignment="1">
      <alignment/>
    </xf>
    <xf numFmtId="3" fontId="86" fillId="0" borderId="14" xfId="0" applyNumberFormat="1" applyFont="1" applyBorder="1" applyAlignment="1">
      <alignment/>
    </xf>
    <xf numFmtId="3" fontId="87" fillId="0" borderId="14" xfId="0" applyNumberFormat="1" applyFont="1" applyBorder="1" applyAlignment="1">
      <alignment/>
    </xf>
    <xf numFmtId="3" fontId="88" fillId="0" borderId="14" xfId="0" applyNumberFormat="1" applyFont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34" fillId="0" borderId="0" xfId="0" applyFont="1" applyAlignment="1">
      <alignment/>
    </xf>
    <xf numFmtId="3" fontId="35" fillId="0" borderId="14" xfId="0" applyNumberFormat="1" applyFont="1" applyBorder="1" applyAlignment="1">
      <alignment/>
    </xf>
    <xf numFmtId="3" fontId="12" fillId="33" borderId="14" xfId="0" applyNumberFormat="1" applyFont="1" applyFill="1" applyBorder="1" applyAlignment="1">
      <alignment/>
    </xf>
    <xf numFmtId="3" fontId="35" fillId="0" borderId="12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3" fontId="36" fillId="0" borderId="14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3" fontId="35" fillId="0" borderId="14" xfId="0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/>
    </xf>
    <xf numFmtId="3" fontId="37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3" fontId="38" fillId="0" borderId="14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3" fontId="38" fillId="0" borderId="17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18" fillId="0" borderId="25" xfId="0" applyNumberFormat="1" applyFont="1" applyBorder="1" applyAlignment="1">
      <alignment/>
    </xf>
    <xf numFmtId="3" fontId="83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3" fontId="18" fillId="0" borderId="27" xfId="0" applyNumberFormat="1" applyFont="1" applyBorder="1" applyAlignment="1">
      <alignment/>
    </xf>
    <xf numFmtId="3" fontId="89" fillId="0" borderId="0" xfId="0" applyNumberFormat="1" applyFont="1" applyAlignment="1">
      <alignment/>
    </xf>
    <xf numFmtId="4" fontId="18" fillId="0" borderId="25" xfId="0" applyNumberFormat="1" applyFont="1" applyBorder="1" applyAlignment="1">
      <alignment vertical="center" wrapText="1"/>
    </xf>
    <xf numFmtId="3" fontId="90" fillId="0" borderId="0" xfId="0" applyNumberFormat="1" applyFont="1" applyAlignment="1">
      <alignment/>
    </xf>
    <xf numFmtId="0" fontId="89" fillId="0" borderId="0" xfId="0" applyFont="1" applyAlignment="1">
      <alignment/>
    </xf>
    <xf numFmtId="0" fontId="2" fillId="0" borderId="28" xfId="0" applyFont="1" applyBorder="1" applyAlignment="1">
      <alignment/>
    </xf>
    <xf numFmtId="3" fontId="7" fillId="0" borderId="29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28" xfId="0" applyFont="1" applyFill="1" applyBorder="1" applyAlignment="1">
      <alignment/>
    </xf>
    <xf numFmtId="4" fontId="7" fillId="0" borderId="29" xfId="0" applyNumberFormat="1" applyFont="1" applyBorder="1" applyAlignment="1">
      <alignment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2" fontId="7" fillId="0" borderId="33" xfId="0" applyNumberFormat="1" applyFont="1" applyBorder="1" applyAlignment="1">
      <alignment horizontal="center" vertical="center" wrapText="1"/>
    </xf>
    <xf numFmtId="2" fontId="7" fillId="0" borderId="34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/>
    </xf>
    <xf numFmtId="2" fontId="7" fillId="0" borderId="36" xfId="0" applyNumberFormat="1" applyFont="1" applyBorder="1" applyAlignment="1">
      <alignment horizontal="center" vertical="center" wrapText="1"/>
    </xf>
    <xf numFmtId="2" fontId="7" fillId="0" borderId="37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/>
    </xf>
    <xf numFmtId="0" fontId="91" fillId="0" borderId="43" xfId="0" applyFont="1" applyBorder="1" applyAlignment="1">
      <alignment horizontal="center" vertical="center"/>
    </xf>
    <xf numFmtId="0" fontId="91" fillId="0" borderId="44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" vertical="center" wrapText="1"/>
    </xf>
    <xf numFmtId="0" fontId="92" fillId="0" borderId="43" xfId="0" applyFont="1" applyBorder="1" applyAlignment="1">
      <alignment horizontal="center" vertical="center" wrapText="1"/>
    </xf>
    <xf numFmtId="0" fontId="92" fillId="0" borderId="44" xfId="0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2" fontId="7" fillId="0" borderId="38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9"/>
  <sheetViews>
    <sheetView tabSelected="1" zoomScalePageLayoutView="0" workbookViewId="0" topLeftCell="A1">
      <selection activeCell="BC5" sqref="BC5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0" width="9.140625" style="0" hidden="1" customWidth="1"/>
    <col min="31" max="31" width="9.7109375" style="0" hidden="1" customWidth="1"/>
    <col min="32" max="32" width="0.2890625" style="0" hidden="1" customWidth="1"/>
    <col min="33" max="33" width="10.57421875" style="0" customWidth="1"/>
    <col min="35" max="35" width="7.421875" style="0" customWidth="1"/>
    <col min="36" max="37" width="7.7109375" style="0" customWidth="1"/>
    <col min="38" max="38" width="8.8515625" style="0" customWidth="1"/>
    <col min="39" max="39" width="8.00390625" style="0" customWidth="1"/>
    <col min="40" max="40" width="8.7109375" style="0" customWidth="1"/>
    <col min="41" max="41" width="9.28125" style="0" customWidth="1"/>
    <col min="43" max="43" width="7.7109375" style="0" customWidth="1"/>
    <col min="44" max="44" width="12.00390625" style="0" customWidth="1"/>
    <col min="48" max="48" width="9.57421875" style="0" customWidth="1"/>
    <col min="49" max="49" width="8.28125" style="0" customWidth="1"/>
    <col min="50" max="50" width="8.7109375" style="0" customWidth="1"/>
    <col min="52" max="55" width="10.140625" style="0" bestFit="1" customWidth="1"/>
  </cols>
  <sheetData>
    <row r="1" spans="34:52" ht="13.5" thickBot="1">
      <c r="AH1" s="141" t="s">
        <v>0</v>
      </c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3" t="s">
        <v>1</v>
      </c>
      <c r="AX1" s="146" t="s">
        <v>2</v>
      </c>
      <c r="AY1" s="149" t="s">
        <v>3</v>
      </c>
      <c r="AZ1" s="152" t="s">
        <v>4</v>
      </c>
    </row>
    <row r="2" spans="1:52" ht="15.75" customHeight="1">
      <c r="A2" s="1"/>
      <c r="B2" s="1"/>
      <c r="C2" s="154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39" t="s">
        <v>6</v>
      </c>
      <c r="T2" s="140"/>
      <c r="U2" s="140"/>
      <c r="V2" s="140"/>
      <c r="W2" s="140"/>
      <c r="X2" s="140"/>
      <c r="Y2" s="155"/>
      <c r="Z2" s="137" t="s">
        <v>7</v>
      </c>
      <c r="AA2" s="139" t="s">
        <v>6</v>
      </c>
      <c r="AB2" s="140"/>
      <c r="AC2" s="140"/>
      <c r="AD2" s="140"/>
      <c r="AE2" s="140"/>
      <c r="AF2" s="140"/>
      <c r="AG2" s="156" t="s">
        <v>8</v>
      </c>
      <c r="AH2" s="126" t="s">
        <v>9</v>
      </c>
      <c r="AI2" s="127"/>
      <c r="AJ2" s="127"/>
      <c r="AK2" s="127"/>
      <c r="AL2" s="127"/>
      <c r="AM2" s="127"/>
      <c r="AN2" s="128"/>
      <c r="AO2" s="129" t="s">
        <v>7</v>
      </c>
      <c r="AP2" s="131" t="s">
        <v>9</v>
      </c>
      <c r="AQ2" s="127"/>
      <c r="AR2" s="127"/>
      <c r="AS2" s="127"/>
      <c r="AT2" s="127"/>
      <c r="AU2" s="127"/>
      <c r="AV2" s="132" t="s">
        <v>10</v>
      </c>
      <c r="AW2" s="144"/>
      <c r="AX2" s="147"/>
      <c r="AY2" s="150"/>
      <c r="AZ2" s="153"/>
    </row>
    <row r="3" spans="1:52" ht="13.5" thickBot="1">
      <c r="A3" s="134" t="s">
        <v>11</v>
      </c>
      <c r="B3" s="135" t="s">
        <v>12</v>
      </c>
      <c r="C3" s="2" t="s">
        <v>13</v>
      </c>
      <c r="D3" s="2"/>
      <c r="E3" s="2"/>
      <c r="F3" s="2"/>
      <c r="G3" s="2"/>
      <c r="H3" s="2"/>
      <c r="I3" s="3"/>
      <c r="J3" s="137" t="s">
        <v>7</v>
      </c>
      <c r="K3" s="139" t="s">
        <v>13</v>
      </c>
      <c r="L3" s="140"/>
      <c r="M3" s="140"/>
      <c r="N3" s="140"/>
      <c r="O3" s="140"/>
      <c r="P3" s="140"/>
      <c r="Q3" s="137" t="s">
        <v>10</v>
      </c>
      <c r="R3" s="137" t="s">
        <v>14</v>
      </c>
      <c r="S3" s="4" t="s">
        <v>15</v>
      </c>
      <c r="T3" s="5" t="s">
        <v>16</v>
      </c>
      <c r="U3" s="6" t="s">
        <v>17</v>
      </c>
      <c r="V3" s="6" t="s">
        <v>18</v>
      </c>
      <c r="W3" s="6" t="s">
        <v>19</v>
      </c>
      <c r="X3" s="6" t="s">
        <v>20</v>
      </c>
      <c r="Y3" s="6" t="s">
        <v>21</v>
      </c>
      <c r="Z3" s="138"/>
      <c r="AA3" s="6" t="s">
        <v>22</v>
      </c>
      <c r="AB3" s="6" t="s">
        <v>23</v>
      </c>
      <c r="AC3" s="6" t="s">
        <v>24</v>
      </c>
      <c r="AD3" s="6" t="s">
        <v>25</v>
      </c>
      <c r="AE3" s="6" t="s">
        <v>26</v>
      </c>
      <c r="AF3" s="6" t="s">
        <v>27</v>
      </c>
      <c r="AG3" s="157"/>
      <c r="AH3" s="7" t="s">
        <v>15</v>
      </c>
      <c r="AI3" s="8" t="s">
        <v>16</v>
      </c>
      <c r="AJ3" s="9" t="s">
        <v>17</v>
      </c>
      <c r="AK3" s="9" t="s">
        <v>18</v>
      </c>
      <c r="AL3" s="9" t="s">
        <v>19</v>
      </c>
      <c r="AM3" s="9" t="s">
        <v>20</v>
      </c>
      <c r="AN3" s="9" t="s">
        <v>21</v>
      </c>
      <c r="AO3" s="130"/>
      <c r="AP3" s="9" t="s">
        <v>22</v>
      </c>
      <c r="AQ3" s="9" t="s">
        <v>23</v>
      </c>
      <c r="AR3" s="9" t="s">
        <v>24</v>
      </c>
      <c r="AS3" s="9" t="s">
        <v>25</v>
      </c>
      <c r="AT3" s="9" t="s">
        <v>26</v>
      </c>
      <c r="AU3" s="9" t="s">
        <v>27</v>
      </c>
      <c r="AV3" s="133"/>
      <c r="AW3" s="145"/>
      <c r="AX3" s="148"/>
      <c r="AY3" s="151"/>
      <c r="AZ3" s="153"/>
    </row>
    <row r="4" spans="1:52" ht="12.75">
      <c r="A4" s="134"/>
      <c r="B4" s="136"/>
      <c r="C4" s="10" t="s">
        <v>15</v>
      </c>
      <c r="D4" s="5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138"/>
      <c r="K4" s="6" t="s">
        <v>22</v>
      </c>
      <c r="L4" s="6" t="s">
        <v>23</v>
      </c>
      <c r="M4" s="6" t="s">
        <v>24</v>
      </c>
      <c r="N4" s="6" t="s">
        <v>25</v>
      </c>
      <c r="O4" s="6" t="s">
        <v>26</v>
      </c>
      <c r="P4" s="6" t="s">
        <v>27</v>
      </c>
      <c r="Q4" s="138"/>
      <c r="R4" s="138"/>
      <c r="S4" s="11">
        <v>13726896</v>
      </c>
      <c r="T4" s="12"/>
      <c r="U4" s="12"/>
      <c r="V4" s="12"/>
      <c r="W4" s="12"/>
      <c r="X4" s="12"/>
      <c r="Y4" s="12"/>
      <c r="Z4" s="12"/>
      <c r="AA4" s="13"/>
      <c r="AB4" s="12"/>
      <c r="AC4" s="12"/>
      <c r="AD4" s="12"/>
      <c r="AE4" s="12"/>
      <c r="AF4" s="12"/>
      <c r="AG4" s="12"/>
      <c r="AH4" s="14">
        <v>30176035.25</v>
      </c>
      <c r="AI4" s="15"/>
      <c r="AJ4" s="15"/>
      <c r="AK4" s="15"/>
      <c r="AL4" s="15"/>
      <c r="AM4" s="15"/>
      <c r="AN4" s="15"/>
      <c r="AO4" s="15"/>
      <c r="AP4" s="16"/>
      <c r="AQ4" s="15"/>
      <c r="AR4" s="15"/>
      <c r="AS4" s="15"/>
      <c r="AT4" s="15"/>
      <c r="AU4" s="15"/>
      <c r="AV4" s="15"/>
      <c r="AW4" s="15"/>
      <c r="AX4" s="16">
        <v>332230</v>
      </c>
      <c r="AY4" s="16">
        <v>155019</v>
      </c>
      <c r="AZ4" s="12"/>
    </row>
    <row r="5" spans="1:52" ht="13.5">
      <c r="A5" s="17" t="s">
        <v>28</v>
      </c>
      <c r="B5" s="18" t="s">
        <v>29</v>
      </c>
      <c r="C5" s="19">
        <v>5301722</v>
      </c>
      <c r="D5" s="12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12"/>
      <c r="R5" s="12"/>
      <c r="S5" s="12"/>
      <c r="T5" s="20"/>
      <c r="U5" s="20"/>
      <c r="V5" s="11"/>
      <c r="W5" s="11"/>
      <c r="X5" s="11"/>
      <c r="Y5" s="11"/>
      <c r="Z5" s="11">
        <f aca="true" t="shared" si="0" ref="Z5:Z17">T5+U5+V5+W5+X5+Y5</f>
        <v>0</v>
      </c>
      <c r="AA5" s="20"/>
      <c r="AB5" s="20"/>
      <c r="AC5" s="20"/>
      <c r="AD5" s="20"/>
      <c r="AE5" s="20"/>
      <c r="AF5" s="20"/>
      <c r="AG5" s="21">
        <f aca="true" t="shared" si="1" ref="AG5:AG39">Z5+AA5+AB5+AC5+AD5+AE5+AF5</f>
        <v>0</v>
      </c>
      <c r="AH5" s="12"/>
      <c r="AI5" s="20"/>
      <c r="AJ5" s="20"/>
      <c r="AK5" s="11"/>
      <c r="AL5" s="11"/>
      <c r="AM5" s="11"/>
      <c r="AN5" s="11"/>
      <c r="AO5" s="11">
        <f aca="true" t="shared" si="2" ref="AO5:AO23">AI5+AJ5+AK5+AL5+AM5+AN5</f>
        <v>0</v>
      </c>
      <c r="AP5" s="20"/>
      <c r="AQ5" s="20"/>
      <c r="AR5" s="20"/>
      <c r="AS5" s="20"/>
      <c r="AT5" s="20"/>
      <c r="AU5" s="20"/>
      <c r="AV5" s="21">
        <f aca="true" t="shared" si="3" ref="AV5:AV39">AO5+AP5+AQ5+AR5+AS5+AT5+AU5</f>
        <v>0</v>
      </c>
      <c r="AW5" s="12"/>
      <c r="AX5" s="12"/>
      <c r="AY5" s="12"/>
      <c r="AZ5" s="12"/>
    </row>
    <row r="6" spans="1:52" ht="13.5">
      <c r="A6" s="22" t="s">
        <v>30</v>
      </c>
      <c r="B6" s="23" t="s">
        <v>31</v>
      </c>
      <c r="C6" s="24"/>
      <c r="D6" s="20">
        <f>D7+D11+D12</f>
        <v>30176172</v>
      </c>
      <c r="E6" s="20">
        <f>E7+E12+E13</f>
        <v>29307616</v>
      </c>
      <c r="F6" s="11">
        <f>F7+F12+F13</f>
        <v>4230097</v>
      </c>
      <c r="G6" s="11">
        <f>G7+G12+G13</f>
        <v>6337705</v>
      </c>
      <c r="H6" s="11">
        <f>H7+H12+H13</f>
        <v>3599517</v>
      </c>
      <c r="I6" s="11">
        <f>I7+I12</f>
        <v>1404628</v>
      </c>
      <c r="J6" s="11">
        <f>D6+E6+F6+G6+H6+I6</f>
        <v>75055735</v>
      </c>
      <c r="K6" s="20">
        <f>K7+K12+K13</f>
        <v>36070000</v>
      </c>
      <c r="L6" s="20">
        <f>L7+L12</f>
        <v>2920655</v>
      </c>
      <c r="M6" s="20">
        <f>M7+M12</f>
        <v>12121798</v>
      </c>
      <c r="N6" s="20">
        <f>N7+N12</f>
        <v>1294400</v>
      </c>
      <c r="O6" s="20">
        <f>O7+O12</f>
        <v>60000</v>
      </c>
      <c r="P6" s="20">
        <f>P7+P12</f>
        <v>23339551</v>
      </c>
      <c r="Q6" s="21">
        <f>J6+K6+L6+M6+N6+O6+P6</f>
        <v>150862139</v>
      </c>
      <c r="R6" s="12"/>
      <c r="S6" s="12"/>
      <c r="T6" s="25">
        <f>T7+T12+T13</f>
        <v>19364556</v>
      </c>
      <c r="U6" s="25">
        <f>U7+U12+U14</f>
        <v>13498414.9</v>
      </c>
      <c r="V6" s="25">
        <f>V7+V12</f>
        <v>656300</v>
      </c>
      <c r="W6" s="20">
        <f>W10+W12+W13</f>
        <v>1258687</v>
      </c>
      <c r="X6" s="20">
        <f>X7+X12</f>
        <v>34816251</v>
      </c>
      <c r="Y6" s="11">
        <f>Y7+Y12</f>
        <v>307307</v>
      </c>
      <c r="Z6" s="11">
        <f t="shared" si="0"/>
        <v>69901515.9</v>
      </c>
      <c r="AA6" s="20">
        <f>AA7+AA12</f>
        <v>372900</v>
      </c>
      <c r="AB6" s="20">
        <f>AB7+AB12</f>
        <v>30495573</v>
      </c>
      <c r="AC6" s="20">
        <f>AC7+AC12</f>
        <v>2032269</v>
      </c>
      <c r="AD6" s="20">
        <f>AD7+AD12</f>
        <v>20404471</v>
      </c>
      <c r="AE6" s="20">
        <f>AE7+AE12</f>
        <v>352000</v>
      </c>
      <c r="AF6" s="20">
        <f>AF7+AF12+AF14</f>
        <v>22067364</v>
      </c>
      <c r="AG6" s="26">
        <f t="shared" si="1"/>
        <v>145626092.9</v>
      </c>
      <c r="AH6" s="12"/>
      <c r="AI6" s="25">
        <f>AI7+AI12+AI13+AI14</f>
        <v>7793604</v>
      </c>
      <c r="AJ6" s="25">
        <f>AJ7+AJ12+AJ13</f>
        <v>29001115</v>
      </c>
      <c r="AK6" s="25">
        <f>AK7+AK12+AK13</f>
        <v>1005328</v>
      </c>
      <c r="AL6" s="20">
        <f>AL7+AL12+AL14</f>
        <v>20467834</v>
      </c>
      <c r="AM6" s="20">
        <f>AM7</f>
        <v>30052197</v>
      </c>
      <c r="AN6" s="11">
        <f>AN7+AN12</f>
        <v>14427355</v>
      </c>
      <c r="AO6" s="11">
        <f t="shared" si="2"/>
        <v>102747433</v>
      </c>
      <c r="AP6" s="20">
        <f>AP7+AP12+AP13</f>
        <v>782434</v>
      </c>
      <c r="AQ6" s="20">
        <f>AQ7+AQ12</f>
        <v>1411910</v>
      </c>
      <c r="AR6" s="20">
        <f>AR12+AR7</f>
        <v>10352000</v>
      </c>
      <c r="AS6" s="20">
        <f>AS7+AS12</f>
        <v>15400873</v>
      </c>
      <c r="AT6" s="20"/>
      <c r="AU6" s="20"/>
      <c r="AV6" s="27">
        <f t="shared" si="3"/>
        <v>130694650</v>
      </c>
      <c r="AW6" s="12"/>
      <c r="AX6" s="12"/>
      <c r="AY6" s="12"/>
      <c r="AZ6" s="12"/>
    </row>
    <row r="7" spans="1:52" ht="12.75">
      <c r="A7" s="28">
        <v>1</v>
      </c>
      <c r="B7" s="29" t="s">
        <v>32</v>
      </c>
      <c r="C7" s="24"/>
      <c r="D7" s="25">
        <f aca="true" t="shared" si="4" ref="D7:I7">D10</f>
        <v>29866302</v>
      </c>
      <c r="E7" s="25">
        <f t="shared" si="4"/>
        <v>28187607</v>
      </c>
      <c r="F7" s="25">
        <f t="shared" si="4"/>
        <v>3108622</v>
      </c>
      <c r="G7" s="20">
        <f t="shared" si="4"/>
        <v>5906117</v>
      </c>
      <c r="H7" s="20">
        <f t="shared" si="4"/>
        <v>2365759</v>
      </c>
      <c r="I7" s="11">
        <f t="shared" si="4"/>
        <v>239448</v>
      </c>
      <c r="J7" s="11">
        <f aca="true" t="shared" si="5" ref="J7:J13">D7+E7+F7+G7+H7+I7</f>
        <v>69673855</v>
      </c>
      <c r="K7" s="30">
        <f>K8+K10</f>
        <v>35030000</v>
      </c>
      <c r="L7" s="30">
        <f>L10</f>
        <v>1601005</v>
      </c>
      <c r="M7" s="30">
        <f>M8+M10</f>
        <v>10121298</v>
      </c>
      <c r="N7" s="30">
        <f>N10</f>
        <v>90000</v>
      </c>
      <c r="O7" s="30">
        <f>O10</f>
        <v>30000</v>
      </c>
      <c r="P7" s="20">
        <f>P8+P10</f>
        <v>23319551</v>
      </c>
      <c r="Q7" s="27">
        <f aca="true" t="shared" si="6" ref="Q7:Q44">J7+K7+L7+M7+N7+O7+P7</f>
        <v>139865709</v>
      </c>
      <c r="R7" s="31"/>
      <c r="S7" s="12"/>
      <c r="T7" s="32">
        <f>T10</f>
        <v>19023333</v>
      </c>
      <c r="U7" s="30">
        <f>U10</f>
        <v>12930379</v>
      </c>
      <c r="V7" s="33">
        <f>V10</f>
        <v>200000</v>
      </c>
      <c r="W7" s="33">
        <f>W10</f>
        <v>84510</v>
      </c>
      <c r="X7" s="30">
        <f>X8+X10</f>
        <v>33337831</v>
      </c>
      <c r="Y7" s="30">
        <f>Y10</f>
        <v>65147</v>
      </c>
      <c r="Z7" s="11">
        <f t="shared" si="0"/>
        <v>65641200</v>
      </c>
      <c r="AA7" s="20">
        <f>AA10</f>
        <v>209300</v>
      </c>
      <c r="AB7" s="34">
        <f>AB8+AB10</f>
        <v>30394553</v>
      </c>
      <c r="AC7" s="20">
        <f>AC10</f>
        <v>814359</v>
      </c>
      <c r="AD7" s="20">
        <f>AD8+AD10</f>
        <v>18364471</v>
      </c>
      <c r="AE7" s="20">
        <f>AE10</f>
        <v>40000</v>
      </c>
      <c r="AF7" s="20">
        <f>AF8+AF9+AF10</f>
        <v>19959744</v>
      </c>
      <c r="AG7" s="26">
        <f t="shared" si="1"/>
        <v>135423627</v>
      </c>
      <c r="AH7" s="12"/>
      <c r="AI7" s="34">
        <f>AI10</f>
        <v>6519366</v>
      </c>
      <c r="AJ7" s="20">
        <f>AJ10</f>
        <v>28103695</v>
      </c>
      <c r="AK7" s="11">
        <f>AK10</f>
        <v>838682</v>
      </c>
      <c r="AL7" s="11">
        <f>AL8+AL10</f>
        <v>20080000</v>
      </c>
      <c r="AM7" s="20">
        <f>AM8+AM10</f>
        <v>30052197</v>
      </c>
      <c r="AN7" s="20">
        <f>AN10</f>
        <v>14306155</v>
      </c>
      <c r="AO7" s="11">
        <f t="shared" si="2"/>
        <v>99900095</v>
      </c>
      <c r="AP7" s="20">
        <f>AP10</f>
        <v>578729</v>
      </c>
      <c r="AQ7" s="34">
        <f>AQ10</f>
        <v>51770</v>
      </c>
      <c r="AR7" s="20">
        <f>AR10+AR8</f>
        <v>10040000</v>
      </c>
      <c r="AS7" s="20">
        <f>AS10+AS8</f>
        <v>15071273</v>
      </c>
      <c r="AT7" s="20"/>
      <c r="AU7" s="20"/>
      <c r="AV7" s="27">
        <f t="shared" si="3"/>
        <v>125641867</v>
      </c>
      <c r="AW7" s="12"/>
      <c r="AX7" s="12"/>
      <c r="AY7" s="12"/>
      <c r="AZ7" s="12"/>
    </row>
    <row r="8" spans="1:52" ht="12.75">
      <c r="A8" s="35" t="s">
        <v>33</v>
      </c>
      <c r="B8" s="29" t="s">
        <v>34</v>
      </c>
      <c r="C8" s="24"/>
      <c r="E8" s="30"/>
      <c r="F8" s="33"/>
      <c r="G8" s="33"/>
      <c r="H8" s="30"/>
      <c r="I8" s="33"/>
      <c r="J8" s="11">
        <f t="shared" si="5"/>
        <v>0</v>
      </c>
      <c r="K8" s="30">
        <f>15000000+20000000</f>
        <v>35000000</v>
      </c>
      <c r="L8" s="32"/>
      <c r="M8" s="30">
        <v>10000000</v>
      </c>
      <c r="N8" s="30"/>
      <c r="O8" s="30"/>
      <c r="P8" s="30">
        <v>23274551</v>
      </c>
      <c r="Q8" s="33">
        <f>J8+K8+L8+M8+N8+O8+P8</f>
        <v>68274551</v>
      </c>
      <c r="R8" s="33"/>
      <c r="S8" s="12"/>
      <c r="T8" s="30"/>
      <c r="U8" s="30"/>
      <c r="V8" s="33"/>
      <c r="W8" s="33"/>
      <c r="X8" s="30">
        <f>20000000+12858755</f>
        <v>32858755</v>
      </c>
      <c r="Y8" s="33"/>
      <c r="Z8" s="11">
        <f t="shared" si="0"/>
        <v>32858755</v>
      </c>
      <c r="AA8" s="30"/>
      <c r="AB8" s="30">
        <v>30000000</v>
      </c>
      <c r="AC8" s="30"/>
      <c r="AD8" s="30">
        <v>18000000</v>
      </c>
      <c r="AE8" s="30"/>
      <c r="AF8" s="30">
        <f>19696138</f>
        <v>19696138</v>
      </c>
      <c r="AG8" s="36">
        <f t="shared" si="1"/>
        <v>100554893</v>
      </c>
      <c r="AH8" s="12"/>
      <c r="AI8" s="30"/>
      <c r="AJ8" s="30"/>
      <c r="AK8" s="33"/>
      <c r="AL8" s="30">
        <f>20000000</f>
        <v>20000000</v>
      </c>
      <c r="AM8" s="30">
        <v>30000000</v>
      </c>
      <c r="AN8" s="33"/>
      <c r="AO8" s="11">
        <f t="shared" si="2"/>
        <v>50000000</v>
      </c>
      <c r="AP8" s="20"/>
      <c r="AQ8" s="30"/>
      <c r="AR8" s="30">
        <v>10000000</v>
      </c>
      <c r="AS8" s="30">
        <v>15000000</v>
      </c>
      <c r="AT8" s="30"/>
      <c r="AU8" s="30"/>
      <c r="AV8" s="37">
        <f t="shared" si="3"/>
        <v>75000000</v>
      </c>
      <c r="AW8" s="12"/>
      <c r="AX8" s="12"/>
      <c r="AY8" s="12"/>
      <c r="AZ8" s="12"/>
    </row>
    <row r="9" spans="1:52" ht="12.75">
      <c r="A9" s="35" t="s">
        <v>35</v>
      </c>
      <c r="B9" s="29" t="s">
        <v>36</v>
      </c>
      <c r="C9" s="24"/>
      <c r="D9" s="30"/>
      <c r="E9" s="30"/>
      <c r="F9" s="33"/>
      <c r="G9" s="33"/>
      <c r="H9" s="30"/>
      <c r="I9" s="33"/>
      <c r="J9" s="11">
        <f t="shared" si="5"/>
        <v>0</v>
      </c>
      <c r="K9" s="30"/>
      <c r="L9" s="30"/>
      <c r="M9" s="30"/>
      <c r="N9" s="30"/>
      <c r="O9" s="30"/>
      <c r="P9" s="30"/>
      <c r="Q9" s="33">
        <f t="shared" si="6"/>
        <v>0</v>
      </c>
      <c r="R9" s="33"/>
      <c r="S9" s="12"/>
      <c r="T9" s="30"/>
      <c r="U9" s="30"/>
      <c r="V9" s="33"/>
      <c r="W9" s="33"/>
      <c r="X9" s="30"/>
      <c r="Y9" s="30"/>
      <c r="Z9" s="11">
        <f t="shared" si="0"/>
        <v>0</v>
      </c>
      <c r="AA9" s="30"/>
      <c r="AB9" s="30"/>
      <c r="AC9" s="30"/>
      <c r="AD9" s="30"/>
      <c r="AE9" s="30"/>
      <c r="AF9" s="30">
        <v>46222</v>
      </c>
      <c r="AG9" s="38">
        <f t="shared" si="1"/>
        <v>46222</v>
      </c>
      <c r="AH9" s="12"/>
      <c r="AI9" s="30"/>
      <c r="AJ9" s="30"/>
      <c r="AK9" s="33"/>
      <c r="AL9" s="33"/>
      <c r="AM9" s="30"/>
      <c r="AN9" s="30"/>
      <c r="AO9" s="11">
        <f t="shared" si="2"/>
        <v>0</v>
      </c>
      <c r="AP9" s="30"/>
      <c r="AQ9" s="30"/>
      <c r="AR9" s="30"/>
      <c r="AS9" s="30"/>
      <c r="AT9" s="30"/>
      <c r="AU9" s="30"/>
      <c r="AV9" s="27">
        <f t="shared" si="3"/>
        <v>0</v>
      </c>
      <c r="AW9" s="12"/>
      <c r="AX9" s="12"/>
      <c r="AY9" s="12"/>
      <c r="AZ9" s="12"/>
    </row>
    <row r="10" spans="1:52" ht="12.75">
      <c r="A10" s="28" t="s">
        <v>37</v>
      </c>
      <c r="B10" s="29" t="s">
        <v>38</v>
      </c>
      <c r="C10" s="24"/>
      <c r="D10" s="32">
        <f>13430060+16436242</f>
        <v>29866302</v>
      </c>
      <c r="E10" s="30">
        <f>13000000+127915+15000+30564+15000+105476+59476+30000+2709600+22000+211424+30000+110227+62430+706878+811870+40492+30000+25787+75353+38400+66943+428435+30000+35168+356364+439800+445936+250200+53966+15000+35464+15000+32186+30000+25353+45000+20246+27852+1261005+201729+148627+30000+37309+76126+68722+46276+23250+86113+22106+135102+69939+164138+15000+454100+963714+256000+2724028+149000+391742+30597+30000+18246+15000+15000+31000+22933+30000+30000+15000+15000</f>
        <v>28187607</v>
      </c>
      <c r="F10" s="33">
        <f>30000+15000+573541+380129+125728+276159+45000+15000+38786+104893+93680+222950+30000+15000+30000+32773+30000+25257+40125+200000+30000+15752+40740+15000+30000+376914+20000+30000+30000+17711+77600+30000+70884</f>
        <v>3108622</v>
      </c>
      <c r="G10" s="33">
        <f>139810+99482+15000+15000+15550+33197+30000+30000+749362+15000+60000+3731867+259075+60000+30000+30000+78341+18838+30000+45000+101189+18432+30000+30000+18531+15000+30000+109768+22675+45000</f>
        <v>5906117</v>
      </c>
      <c r="H10" s="30">
        <f>21775+300000+410056+15000+416644+60000+65739+60000+266394+82212+30638+30000+198543+263758+30000+30000+30000+55000</f>
        <v>2365759</v>
      </c>
      <c r="I10" s="30">
        <f>30000+134622+74826</f>
        <v>239448</v>
      </c>
      <c r="J10" s="11">
        <f t="shared" si="5"/>
        <v>69673855</v>
      </c>
      <c r="K10" s="30">
        <f>30000</f>
        <v>30000</v>
      </c>
      <c r="L10" s="30">
        <f>517000+360000+115757+35648+140000+150000+90000+30000+162600</f>
        <v>1601005</v>
      </c>
      <c r="M10" s="30">
        <f>15000+15000+15000+45000+15000+16298</f>
        <v>121298</v>
      </c>
      <c r="N10" s="30">
        <f>15000+15000+30000+30000</f>
        <v>90000</v>
      </c>
      <c r="O10" s="30">
        <v>30000</v>
      </c>
      <c r="P10" s="30">
        <v>45000</v>
      </c>
      <c r="Q10" s="11">
        <f>J10+K10+L10+M10+N10+O10+P10</f>
        <v>71591158</v>
      </c>
      <c r="R10" s="11">
        <f>40614+90000</f>
        <v>130614</v>
      </c>
      <c r="S10" s="12"/>
      <c r="T10" s="32">
        <f>30000+30000+5599232+40000+8112+40000+122123+120000+66139+204873+363926+3948475+31074+40000+297229+61655+80000+375210+4541+75570+12860+40000+40000+28547+154060+80000+14507+10385+9364+1045550+7165+247026+39300+55627+80000+249974+61086+16881+50840+40000+173094+230819+40000+80000+13076+40000+80000+195767+319802+156546+65875+368979+80000+60358+6812+1015379+2851+43791+857035+40000+69805+364018+119089+3772+78695+9053+78973+170865+39484+56602+136161+165301+40000</f>
        <v>19023333</v>
      </c>
      <c r="U10" s="30">
        <f>315734+2877337+4740+24039+3672+833264+199654+20819+2711+80000+80000+286052+216906+40457+80000+6027+2220+80000+88947+120000+99140+89834+72882+101839+5969+2133283+364565+41154+40000+116696+80000+109728+1883+1798719+92400+937773+28621+9023+508195+40000+84397+40000+40000+80000+117353+80000+40000+80000+80000+130070+124276</f>
        <v>12930379</v>
      </c>
      <c r="V10" s="30">
        <f>80000+40000+80000</f>
        <v>200000</v>
      </c>
      <c r="W10" s="39">
        <f>40000+44510</f>
        <v>84510</v>
      </c>
      <c r="X10" s="33">
        <f>107459+26121+52369+20000+193127+80000</f>
        <v>479076</v>
      </c>
      <c r="Y10" s="33">
        <v>65147</v>
      </c>
      <c r="Z10" s="11">
        <f t="shared" si="0"/>
        <v>32782445</v>
      </c>
      <c r="AA10" s="30">
        <v>209300</v>
      </c>
      <c r="AB10" s="30">
        <f>40000+206036+66342+82175</f>
        <v>394553</v>
      </c>
      <c r="AC10" s="30">
        <f>52251+30000+80000+336152+176373+5012+94571+40000</f>
        <v>814359</v>
      </c>
      <c r="AD10" s="30">
        <f>40000+700+48402+80000+30000+70369+40000+55000</f>
        <v>364471</v>
      </c>
      <c r="AE10" s="32">
        <v>40000</v>
      </c>
      <c r="AF10" s="30">
        <f>40000+40000+137384</f>
        <v>217384</v>
      </c>
      <c r="AG10" s="26">
        <f t="shared" si="1"/>
        <v>34822512</v>
      </c>
      <c r="AH10" s="12"/>
      <c r="AI10" s="32">
        <f>2318+9499+203734+65548+19851+816295+52921+80000+20208+1768817+40000+80000+41398+80000+40000+451231+54705+700+40000+536634+169047+325295+18900+20591+80000+3694+29709+120000+40000+146873+40000+40000+51378+40000+80000+80000+40000+40000+85854+40000+302863+30536+330767-40000</f>
        <v>6519366</v>
      </c>
      <c r="AJ10" s="30">
        <f>309070+55788+313435+1109360+6744+40000+40000+129134+43231+19204+468368+65522+186987+87183+40000+80000+40000+545636+21494+544777+1723284+80000+86712+39000+189892+53533+54144+19224+2039+9345+40000+120000+112887+30370+12896+40000+40000+80000+255003+80000+72966+80000+37715+80399+43293+42655+40000+25626+40000+93727+65683+40000+368049+160189+6275+196138+193056+199742+216228+80000+40000+40000+493221+77737+433458+40000+27886+91253+40000+1575618+3294+912629+40000+29470+9373757+1898257+1576770+6431+54180+17719+80000+31394+1820913+40000+63705</f>
        <v>28103695</v>
      </c>
      <c r="AK10" s="30">
        <f>40000+46270+40680+23690+40000+40000+116722+185824+1760+303736</f>
        <v>838682</v>
      </c>
      <c r="AL10" s="39">
        <v>80000</v>
      </c>
      <c r="AM10" s="30">
        <v>52197</v>
      </c>
      <c r="AN10" s="33">
        <f>80000+3590+40000+112241+99859+67981+13707426+75058+40000+80000</f>
        <v>14306155</v>
      </c>
      <c r="AO10" s="11">
        <f>AI10+AJ10+AK10+AL10+AM10+AN10</f>
        <v>49900095</v>
      </c>
      <c r="AP10" s="30">
        <f>175841+55748+40000+4854+80000+3378+29200+59640+40000+90068</f>
        <v>578729</v>
      </c>
      <c r="AQ10" s="30">
        <v>51770</v>
      </c>
      <c r="AR10" s="30">
        <v>40000</v>
      </c>
      <c r="AS10" s="30">
        <v>71273</v>
      </c>
      <c r="AT10" s="32"/>
      <c r="AU10" s="30"/>
      <c r="AV10" s="27">
        <f t="shared" si="3"/>
        <v>50641867</v>
      </c>
      <c r="AW10" s="40" t="s">
        <v>39</v>
      </c>
      <c r="AX10" s="12"/>
      <c r="AY10" s="12"/>
      <c r="AZ10" s="12"/>
    </row>
    <row r="11" spans="1:52" ht="12.75">
      <c r="A11" s="28">
        <v>2</v>
      </c>
      <c r="B11" s="29" t="s">
        <v>40</v>
      </c>
      <c r="C11" s="24"/>
      <c r="D11" s="30">
        <f>13033+2837</f>
        <v>15870</v>
      </c>
      <c r="E11" s="30"/>
      <c r="F11" s="30"/>
      <c r="G11" s="39"/>
      <c r="H11" s="33"/>
      <c r="I11" s="33"/>
      <c r="J11" s="11">
        <f t="shared" si="5"/>
        <v>15870</v>
      </c>
      <c r="K11" s="30"/>
      <c r="L11" s="30"/>
      <c r="M11" s="41"/>
      <c r="N11" s="30"/>
      <c r="O11" s="32"/>
      <c r="P11" s="30"/>
      <c r="Q11" s="11">
        <f>J11+K11+L11+M11+N11+O11+P11</f>
        <v>15870</v>
      </c>
      <c r="R11" s="11"/>
      <c r="S11" s="12"/>
      <c r="T11" s="30"/>
      <c r="U11" s="30"/>
      <c r="V11" s="30"/>
      <c r="W11" s="30"/>
      <c r="X11" s="30"/>
      <c r="Y11" s="30"/>
      <c r="Z11" s="11">
        <f t="shared" si="0"/>
        <v>0</v>
      </c>
      <c r="AA11" s="30"/>
      <c r="AB11" s="30"/>
      <c r="AC11" s="30"/>
      <c r="AD11" s="30"/>
      <c r="AE11" s="30"/>
      <c r="AF11" s="30"/>
      <c r="AG11" s="26">
        <f t="shared" si="1"/>
        <v>0</v>
      </c>
      <c r="AH11" s="12"/>
      <c r="AI11" s="30"/>
      <c r="AJ11" s="30"/>
      <c r="AK11" s="30"/>
      <c r="AL11" s="30"/>
      <c r="AM11" s="30"/>
      <c r="AN11" s="30"/>
      <c r="AO11" s="11">
        <f>AI11+AJ11+AK11+AL11+AM11+AN11</f>
        <v>0</v>
      </c>
      <c r="AP11" s="30"/>
      <c r="AQ11" s="30"/>
      <c r="AR11" s="30"/>
      <c r="AS11" s="30"/>
      <c r="AT11" s="30"/>
      <c r="AU11" s="30"/>
      <c r="AV11" s="27">
        <f t="shared" si="3"/>
        <v>0</v>
      </c>
      <c r="AW11" s="40"/>
      <c r="AX11" s="12"/>
      <c r="AY11" s="12"/>
      <c r="AZ11" s="12"/>
    </row>
    <row r="12" spans="1:52" ht="12.75">
      <c r="A12" s="28">
        <v>3</v>
      </c>
      <c r="B12" s="29" t="s">
        <v>41</v>
      </c>
      <c r="C12" s="24"/>
      <c r="D12" s="30">
        <f>214000+40000+40000</f>
        <v>294000</v>
      </c>
      <c r="E12" s="30">
        <f>80000+40000+1000000</f>
        <v>1120000</v>
      </c>
      <c r="F12" s="30">
        <f>40000+40000+1000000+40000</f>
        <v>1120000</v>
      </c>
      <c r="G12" s="30">
        <f>100000+100000+100000+40000+30000+41520</f>
        <v>411520</v>
      </c>
      <c r="H12" s="30">
        <f>40000+1000000</f>
        <v>1040000</v>
      </c>
      <c r="I12" s="30">
        <f>135180+900000+50000+40000+40000</f>
        <v>1165180</v>
      </c>
      <c r="J12" s="11">
        <f t="shared" si="5"/>
        <v>5150700</v>
      </c>
      <c r="K12" s="30">
        <f>1000000+40000</f>
        <v>1040000</v>
      </c>
      <c r="L12" s="30">
        <f>45450+999500+214700+20000+40000</f>
        <v>1319650</v>
      </c>
      <c r="M12" s="30">
        <f>1000000+1000500</f>
        <v>2000500</v>
      </c>
      <c r="N12" s="30">
        <f>40000+13400+111000+1000000+40000</f>
        <v>1204400</v>
      </c>
      <c r="O12" s="30">
        <v>30000</v>
      </c>
      <c r="P12" s="30">
        <v>20000</v>
      </c>
      <c r="Q12" s="11">
        <f t="shared" si="6"/>
        <v>10765250</v>
      </c>
      <c r="R12" s="11"/>
      <c r="S12" s="12"/>
      <c r="T12" s="30">
        <f>41520+39700+60000+60000+50000+30000+30000+30000</f>
        <v>341220</v>
      </c>
      <c r="U12" s="30">
        <f>40000+40000+417000+59100</f>
        <v>556100</v>
      </c>
      <c r="V12" s="30">
        <f>300+75000+75000+75000+60000+51000+60000+30000+30000</f>
        <v>456300</v>
      </c>
      <c r="W12" s="30">
        <f>1000000+50000+68550</f>
        <v>1118550</v>
      </c>
      <c r="X12" s="30">
        <f>100000+100000+40000+50000+39000+50000+39420+60000+1000000</f>
        <v>1478420</v>
      </c>
      <c r="Y12" s="30">
        <v>242160</v>
      </c>
      <c r="Z12" s="11">
        <f t="shared" si="0"/>
        <v>4192750</v>
      </c>
      <c r="AA12" s="42">
        <f>35000+29300+99300</f>
        <v>163600</v>
      </c>
      <c r="AB12" s="42">
        <f>100000+1020</f>
        <v>101020</v>
      </c>
      <c r="AC12" s="30">
        <f>1000000+50000+167910</f>
        <v>1217910</v>
      </c>
      <c r="AD12" s="30">
        <f>1000000+40000+1000000</f>
        <v>2040000</v>
      </c>
      <c r="AE12" s="30">
        <f>42000+40000+30000+100000+40000+60000</f>
        <v>312000</v>
      </c>
      <c r="AF12" s="30">
        <f>101100+1000000+1000000</f>
        <v>2101100</v>
      </c>
      <c r="AG12" s="26">
        <f t="shared" si="1"/>
        <v>10128380</v>
      </c>
      <c r="AH12" s="12"/>
      <c r="AI12" s="20">
        <f>30000+100000+40000+1000000</f>
        <v>1170000</v>
      </c>
      <c r="AJ12" s="20">
        <f>127400+21000+749000</f>
        <v>897400</v>
      </c>
      <c r="AK12" s="20">
        <v>153750</v>
      </c>
      <c r="AL12" s="20">
        <f>40000+40000+50000+40000+60000</f>
        <v>230000</v>
      </c>
      <c r="AM12" s="30"/>
      <c r="AN12" s="20">
        <f>30000+30000+61200</f>
        <v>121200</v>
      </c>
      <c r="AO12" s="11">
        <f t="shared" si="2"/>
        <v>2572350</v>
      </c>
      <c r="AP12" s="43">
        <f>40000+100000</f>
        <v>140000</v>
      </c>
      <c r="AQ12" s="43">
        <f>190140+40000+100000+30000+60000+30000+900000+10000</f>
        <v>1360140</v>
      </c>
      <c r="AR12" s="20">
        <f>100000+102000+60000+50000</f>
        <v>312000</v>
      </c>
      <c r="AS12" s="20">
        <f>259600+30000+40000</f>
        <v>329600</v>
      </c>
      <c r="AT12" s="30"/>
      <c r="AU12" s="30"/>
      <c r="AV12" s="27">
        <f t="shared" si="3"/>
        <v>4714090</v>
      </c>
      <c r="AW12" s="40" t="s">
        <v>42</v>
      </c>
      <c r="AX12" s="12"/>
      <c r="AY12" s="12"/>
      <c r="AZ12" s="12"/>
    </row>
    <row r="13" spans="1:52" ht="12.75">
      <c r="A13" s="28">
        <v>4</v>
      </c>
      <c r="B13" s="29" t="s">
        <v>43</v>
      </c>
      <c r="C13" s="24"/>
      <c r="D13" s="30"/>
      <c r="E13" s="30">
        <f>1+8</f>
        <v>9</v>
      </c>
      <c r="F13" s="30">
        <f>227+1248</f>
        <v>1475</v>
      </c>
      <c r="G13" s="30">
        <f>20000+68</f>
        <v>20068</v>
      </c>
      <c r="H13" s="30">
        <f>248758-55000</f>
        <v>193758</v>
      </c>
      <c r="I13" s="30"/>
      <c r="J13" s="11">
        <f t="shared" si="5"/>
        <v>215310</v>
      </c>
      <c r="K13" s="42"/>
      <c r="L13" s="42"/>
      <c r="M13" s="41"/>
      <c r="N13" s="30"/>
      <c r="O13" s="30"/>
      <c r="P13" s="30"/>
      <c r="Q13" s="11">
        <f>J13+L13+M13+N13+O13+P13</f>
        <v>215310</v>
      </c>
      <c r="R13" s="11"/>
      <c r="S13" s="12"/>
      <c r="T13" s="30">
        <v>3</v>
      </c>
      <c r="U13" s="30"/>
      <c r="V13" s="30"/>
      <c r="W13" s="30">
        <v>55627</v>
      </c>
      <c r="X13" s="30"/>
      <c r="Y13" s="33"/>
      <c r="Z13" s="11">
        <f t="shared" si="0"/>
        <v>55630</v>
      </c>
      <c r="AA13" s="30"/>
      <c r="AB13" s="30"/>
      <c r="AC13" s="41"/>
      <c r="AD13" s="30"/>
      <c r="AE13" s="30"/>
      <c r="AF13" s="30"/>
      <c r="AG13" s="26">
        <f t="shared" si="1"/>
        <v>55630</v>
      </c>
      <c r="AH13" s="12"/>
      <c r="AI13" s="20">
        <f>16516+40000</f>
        <v>56516</v>
      </c>
      <c r="AJ13" s="20">
        <v>20</v>
      </c>
      <c r="AK13" s="20">
        <v>12896</v>
      </c>
      <c r="AL13" s="30"/>
      <c r="AM13" s="30"/>
      <c r="AN13" s="33"/>
      <c r="AO13" s="11">
        <f t="shared" si="2"/>
        <v>69432</v>
      </c>
      <c r="AP13" s="20">
        <v>63705</v>
      </c>
      <c r="AQ13" s="30"/>
      <c r="AR13" s="41"/>
      <c r="AS13" s="30"/>
      <c r="AT13" s="30"/>
      <c r="AU13" s="30"/>
      <c r="AV13" s="27">
        <f t="shared" si="3"/>
        <v>133137</v>
      </c>
      <c r="AW13" s="40">
        <v>411.1</v>
      </c>
      <c r="AX13" s="12"/>
      <c r="AY13" s="12"/>
      <c r="AZ13" s="12"/>
    </row>
    <row r="14" spans="1:52" ht="13.5" thickBot="1">
      <c r="A14" s="44">
        <v>5</v>
      </c>
      <c r="B14" s="45" t="s">
        <v>44</v>
      </c>
      <c r="C14" s="46"/>
      <c r="D14" s="47"/>
      <c r="E14" s="47"/>
      <c r="F14" s="47"/>
      <c r="G14" s="48"/>
      <c r="H14" s="47"/>
      <c r="I14" s="48"/>
      <c r="J14" s="49">
        <f>D14+E14+F14+G14+H14+I14</f>
        <v>0</v>
      </c>
      <c r="K14" s="47"/>
      <c r="L14" s="47"/>
      <c r="M14" s="50"/>
      <c r="N14" s="47"/>
      <c r="O14" s="47"/>
      <c r="P14" s="47"/>
      <c r="Q14" s="48">
        <f t="shared" si="6"/>
        <v>0</v>
      </c>
      <c r="R14" s="49"/>
      <c r="S14" s="49"/>
      <c r="T14" s="47"/>
      <c r="U14" s="47">
        <v>11935.9</v>
      </c>
      <c r="V14" s="47"/>
      <c r="W14" s="48"/>
      <c r="X14" s="47"/>
      <c r="Y14" s="48"/>
      <c r="Z14" s="49">
        <f t="shared" si="0"/>
        <v>11935.9</v>
      </c>
      <c r="AA14" s="51"/>
      <c r="AB14" s="47"/>
      <c r="AC14" s="50"/>
      <c r="AD14" s="47"/>
      <c r="AE14" s="47"/>
      <c r="AF14" s="47">
        <f>1060+5460</f>
        <v>6520</v>
      </c>
      <c r="AG14" s="52">
        <f t="shared" si="1"/>
        <v>18455.9</v>
      </c>
      <c r="AH14" s="49"/>
      <c r="AI14" s="47">
        <v>47722</v>
      </c>
      <c r="AJ14" s="47"/>
      <c r="AK14" s="47"/>
      <c r="AL14" s="51">
        <v>157834</v>
      </c>
      <c r="AM14" s="47"/>
      <c r="AN14" s="48"/>
      <c r="AO14" s="49">
        <f t="shared" si="2"/>
        <v>205556</v>
      </c>
      <c r="AP14" s="51"/>
      <c r="AQ14" s="47"/>
      <c r="AR14" s="50"/>
      <c r="AS14" s="47"/>
      <c r="AT14" s="47"/>
      <c r="AU14" s="47"/>
      <c r="AV14" s="53">
        <f t="shared" si="3"/>
        <v>205556</v>
      </c>
      <c r="AW14" s="54" t="s">
        <v>45</v>
      </c>
      <c r="AX14" s="55"/>
      <c r="AY14" s="55"/>
      <c r="AZ14" s="56"/>
    </row>
    <row r="15" spans="1:52" ht="12.75">
      <c r="A15" s="57" t="s">
        <v>46</v>
      </c>
      <c r="B15" s="58" t="s">
        <v>47</v>
      </c>
      <c r="C15" s="59"/>
      <c r="D15" s="60"/>
      <c r="E15" s="60"/>
      <c r="F15" s="60"/>
      <c r="G15" s="61"/>
      <c r="H15" s="60"/>
      <c r="I15" s="61"/>
      <c r="J15" s="61"/>
      <c r="K15" s="62"/>
      <c r="L15" s="60"/>
      <c r="M15" s="63"/>
      <c r="N15" s="60"/>
      <c r="O15" s="60"/>
      <c r="P15" s="60"/>
      <c r="Q15" s="61">
        <f t="shared" si="6"/>
        <v>0</v>
      </c>
      <c r="R15" s="14"/>
      <c r="S15" s="64"/>
      <c r="T15" s="65"/>
      <c r="U15" s="60"/>
      <c r="V15" s="60"/>
      <c r="W15" s="60"/>
      <c r="X15" s="60"/>
      <c r="Y15" s="60"/>
      <c r="Z15" s="66">
        <f t="shared" si="0"/>
        <v>0</v>
      </c>
      <c r="AA15" s="60"/>
      <c r="AB15" s="65"/>
      <c r="AC15" s="60"/>
      <c r="AD15" s="60"/>
      <c r="AE15" s="60"/>
      <c r="AF15" s="60"/>
      <c r="AG15" s="67">
        <f t="shared" si="1"/>
        <v>0</v>
      </c>
      <c r="AH15" s="64"/>
      <c r="AI15" s="65"/>
      <c r="AJ15" s="60"/>
      <c r="AK15" s="60"/>
      <c r="AL15" s="60"/>
      <c r="AM15" s="60"/>
      <c r="AN15" s="60"/>
      <c r="AO15" s="66">
        <f t="shared" si="2"/>
        <v>0</v>
      </c>
      <c r="AP15" s="60"/>
      <c r="AQ15" s="65"/>
      <c r="AR15" s="60"/>
      <c r="AS15" s="60"/>
      <c r="AT15" s="60"/>
      <c r="AU15" s="60"/>
      <c r="AV15" s="67">
        <f t="shared" si="3"/>
        <v>0</v>
      </c>
      <c r="AW15" s="15"/>
      <c r="AX15" s="15"/>
      <c r="AY15" s="15"/>
      <c r="AZ15" s="15"/>
    </row>
    <row r="16" spans="1:52" ht="12.75">
      <c r="A16" s="28">
        <v>1</v>
      </c>
      <c r="B16" s="29" t="s">
        <v>48</v>
      </c>
      <c r="C16" s="68">
        <v>900000</v>
      </c>
      <c r="D16" s="69">
        <v>32272</v>
      </c>
      <c r="E16" s="30">
        <f>38924+26665</f>
        <v>65589</v>
      </c>
      <c r="F16" s="30">
        <v>30592</v>
      </c>
      <c r="G16" s="30">
        <f>24611+23158</f>
        <v>47769</v>
      </c>
      <c r="H16" s="30">
        <f>15288+11340</f>
        <v>26628</v>
      </c>
      <c r="I16" s="30">
        <f>11340</f>
        <v>11340</v>
      </c>
      <c r="J16" s="25">
        <f aca="true" t="shared" si="7" ref="J16:J43">D16+E16+F16+G16+H16+I16</f>
        <v>214190</v>
      </c>
      <c r="K16" s="30">
        <f>27503+11104</f>
        <v>38607</v>
      </c>
      <c r="L16" s="69">
        <f>22914.4+9090</f>
        <v>32004.4</v>
      </c>
      <c r="M16" s="30">
        <v>16648</v>
      </c>
      <c r="N16" s="30">
        <f>12985.6</f>
        <v>12985.6</v>
      </c>
      <c r="O16" s="30">
        <v>18025.6</v>
      </c>
      <c r="P16" s="30">
        <f>23267.2+53320</f>
        <v>76587.2</v>
      </c>
      <c r="Q16" s="27">
        <f t="shared" si="6"/>
        <v>409047.8</v>
      </c>
      <c r="R16" s="70" t="s">
        <v>49</v>
      </c>
      <c r="S16" s="71"/>
      <c r="T16" s="69">
        <f>27332.8+14797</f>
        <v>42129.8</v>
      </c>
      <c r="U16" s="30">
        <f>13700+32641.6</f>
        <v>46341.6</v>
      </c>
      <c r="V16" s="30">
        <f>15280+28861.6</f>
        <v>44141.6</v>
      </c>
      <c r="W16" s="30">
        <f>22696+13837</f>
        <v>36533</v>
      </c>
      <c r="X16" s="30">
        <f>16110.4+13690</f>
        <v>29800.4</v>
      </c>
      <c r="Y16" s="30">
        <f>16916.8+16430</f>
        <v>33346.8</v>
      </c>
      <c r="Z16" s="25">
        <f t="shared" si="0"/>
        <v>232293.2</v>
      </c>
      <c r="AA16" s="72">
        <f>15253.6+8700+16650</f>
        <v>40603.6</v>
      </c>
      <c r="AB16" s="69">
        <f>18277.6+12780</f>
        <v>31057.6</v>
      </c>
      <c r="AC16" s="30">
        <f>16984+18710</f>
        <v>35694</v>
      </c>
      <c r="AD16" s="30">
        <f>15388+15740</f>
        <v>31128</v>
      </c>
      <c r="AE16" s="30">
        <f>17488+18940</f>
        <v>36428</v>
      </c>
      <c r="AF16" s="30">
        <f>19184.8+21900</f>
        <v>41084.8</v>
      </c>
      <c r="AG16" s="73">
        <f t="shared" si="1"/>
        <v>448289.19999999995</v>
      </c>
      <c r="AH16" s="74">
        <v>600000</v>
      </c>
      <c r="AI16" s="69">
        <f>20428+14150</f>
        <v>34578</v>
      </c>
      <c r="AJ16" s="30"/>
      <c r="AK16" s="30">
        <f>106701.42+25953</f>
        <v>132654.41999999998</v>
      </c>
      <c r="AL16" s="30">
        <f>22350+12000</f>
        <v>34350</v>
      </c>
      <c r="AM16" s="30">
        <f>43037.98+46680</f>
        <v>89717.98000000001</v>
      </c>
      <c r="AN16" s="30">
        <f>18882.4+37860</f>
        <v>56742.4</v>
      </c>
      <c r="AO16" s="25">
        <f t="shared" si="2"/>
        <v>348042.80000000005</v>
      </c>
      <c r="AP16" s="72">
        <f>21688+43330</f>
        <v>65018</v>
      </c>
      <c r="AQ16" s="69">
        <f>20344+41280</f>
        <v>61624</v>
      </c>
      <c r="AR16" s="30">
        <f>23099.2+25550</f>
        <v>48649.2</v>
      </c>
      <c r="AS16" s="30">
        <v>22729.6</v>
      </c>
      <c r="AT16" s="30"/>
      <c r="AU16" s="30"/>
      <c r="AV16" s="27">
        <f t="shared" si="3"/>
        <v>546063.6000000001</v>
      </c>
      <c r="AW16" s="12"/>
      <c r="AX16" s="12"/>
      <c r="AY16" s="12"/>
      <c r="AZ16" s="12"/>
    </row>
    <row r="17" spans="1:52" ht="12.75">
      <c r="A17" s="28">
        <v>2</v>
      </c>
      <c r="B17" s="29" t="s">
        <v>50</v>
      </c>
      <c r="C17" s="68">
        <v>4864800</v>
      </c>
      <c r="D17" s="69"/>
      <c r="E17" s="30">
        <f>185991.6+5000+5000</f>
        <v>195991.6</v>
      </c>
      <c r="F17" s="30">
        <v>5000</v>
      </c>
      <c r="G17" s="30">
        <v>19200</v>
      </c>
      <c r="H17" s="30">
        <f>125368+5000</f>
        <v>130368</v>
      </c>
      <c r="I17" s="30">
        <f>5000+125600+19200+133560</f>
        <v>283360</v>
      </c>
      <c r="J17" s="25">
        <f t="shared" si="7"/>
        <v>633919.6</v>
      </c>
      <c r="K17" s="30">
        <f>5000+181992+5000</f>
        <v>191992</v>
      </c>
      <c r="L17" s="69">
        <v>38400</v>
      </c>
      <c r="M17" s="30">
        <v>5000</v>
      </c>
      <c r="N17" s="30">
        <f>142920+5000+13500+179736</f>
        <v>341156</v>
      </c>
      <c r="O17" s="30">
        <f>28800+5000+5000+244920</f>
        <v>283720</v>
      </c>
      <c r="P17" s="30">
        <f>108804+5000+45000+118078.56+57600+384840.8+168000+363960+110880+118840+130768</f>
        <v>1611771.3599999999</v>
      </c>
      <c r="Q17" s="27">
        <f>J17+K17+L17+M17+N17+O17+P17</f>
        <v>3105958.96</v>
      </c>
      <c r="R17" s="70" t="s">
        <v>49</v>
      </c>
      <c r="S17" s="71"/>
      <c r="T17" s="69">
        <f>5000</f>
        <v>5000</v>
      </c>
      <c r="U17" s="32">
        <f>5000+66256</f>
        <v>71256</v>
      </c>
      <c r="V17" s="30">
        <f>63928+5000</f>
        <v>68928</v>
      </c>
      <c r="W17" s="33">
        <f>65600+5000+110878+147600+66004+5000</f>
        <v>400082</v>
      </c>
      <c r="X17" s="30">
        <v>5000</v>
      </c>
      <c r="Y17" s="30"/>
      <c r="Z17" s="25">
        <f t="shared" si="0"/>
        <v>550266</v>
      </c>
      <c r="AA17" s="30"/>
      <c r="AB17" s="69">
        <f>5000+5000+182896</f>
        <v>192896</v>
      </c>
      <c r="AC17" s="30">
        <f>5000+189113+57600</f>
        <v>251713</v>
      </c>
      <c r="AD17" s="30">
        <f>35400+206150+105800+70980+69068+84000+7200+145192+5000+35400</f>
        <v>764190</v>
      </c>
      <c r="AE17" s="30">
        <f>36000+5000+19200+71272+49509+69572</f>
        <v>250553</v>
      </c>
      <c r="AF17" s="30">
        <f>5000+64668+81600+43200+107500+25610+119872+5000+5000+48852+104650+272000</f>
        <v>882952</v>
      </c>
      <c r="AG17" s="75">
        <f t="shared" si="1"/>
        <v>2892570</v>
      </c>
      <c r="AH17" s="74">
        <v>4470000</v>
      </c>
      <c r="AI17" s="69">
        <f>43938+63280</f>
        <v>107218</v>
      </c>
      <c r="AJ17" s="32"/>
      <c r="AK17" s="30">
        <f>5000+64328+5000+133784+70874.4</f>
        <v>278986.4</v>
      </c>
      <c r="AL17" s="33">
        <f>46902+5000+67152</f>
        <v>119054</v>
      </c>
      <c r="AM17" s="30">
        <f>117000+5000</f>
        <v>122000</v>
      </c>
      <c r="AN17" s="30">
        <f>253494+5000</f>
        <v>258494</v>
      </c>
      <c r="AO17" s="25">
        <f t="shared" si="2"/>
        <v>885752.4</v>
      </c>
      <c r="AP17" s="30">
        <f>5000+107000+129152+256800</f>
        <v>497952</v>
      </c>
      <c r="AQ17" s="69">
        <f>48480+5000+117600+178638</f>
        <v>349718</v>
      </c>
      <c r="AR17" s="30">
        <f>28320+5000</f>
        <v>33320</v>
      </c>
      <c r="AS17" s="30">
        <f>192420+64940+5000</f>
        <v>262360</v>
      </c>
      <c r="AT17" s="30"/>
      <c r="AU17" s="30"/>
      <c r="AV17" s="76">
        <f t="shared" si="3"/>
        <v>2029102.4</v>
      </c>
      <c r="AW17" s="12"/>
      <c r="AX17" s="12"/>
      <c r="AY17" s="12"/>
      <c r="AZ17" s="12"/>
    </row>
    <row r="18" spans="1:52" ht="12.75">
      <c r="A18" s="28">
        <v>3</v>
      </c>
      <c r="B18" s="29" t="s">
        <v>51</v>
      </c>
      <c r="C18" s="68">
        <v>1692000</v>
      </c>
      <c r="D18" s="69"/>
      <c r="E18" s="30"/>
      <c r="F18" s="30">
        <v>274800</v>
      </c>
      <c r="G18" s="33">
        <v>301680</v>
      </c>
      <c r="H18" s="30"/>
      <c r="I18" s="30"/>
      <c r="J18" s="25">
        <f t="shared" si="7"/>
        <v>576480</v>
      </c>
      <c r="K18" s="30"/>
      <c r="L18" s="69"/>
      <c r="M18" s="41"/>
      <c r="N18" s="30">
        <v>26848</v>
      </c>
      <c r="O18" s="30">
        <v>27076</v>
      </c>
      <c r="P18" s="30">
        <f>78000+158400</f>
        <v>236400</v>
      </c>
      <c r="Q18" s="27">
        <f t="shared" si="6"/>
        <v>866804</v>
      </c>
      <c r="R18" s="70" t="s">
        <v>49</v>
      </c>
      <c r="S18" s="71"/>
      <c r="T18" s="69">
        <f>27076</f>
        <v>27076</v>
      </c>
      <c r="U18" s="30"/>
      <c r="V18" s="30"/>
      <c r="W18" s="33">
        <v>27076</v>
      </c>
      <c r="X18" s="30">
        <f>27082+13878</f>
        <v>40960</v>
      </c>
      <c r="Z18" s="25">
        <f>T18+U18+V18+W18+X18+Y18</f>
        <v>95112</v>
      </c>
      <c r="AB18" s="69"/>
      <c r="AC18" s="41"/>
      <c r="AD18" s="30">
        <v>11238</v>
      </c>
      <c r="AE18" s="30"/>
      <c r="AF18" s="30"/>
      <c r="AG18" s="73">
        <f t="shared" si="1"/>
        <v>106350</v>
      </c>
      <c r="AH18" s="74">
        <v>1072000</v>
      </c>
      <c r="AI18" s="69"/>
      <c r="AJ18" s="30"/>
      <c r="AK18" s="30">
        <v>25696</v>
      </c>
      <c r="AL18" s="33">
        <v>36472</v>
      </c>
      <c r="AM18" s="30"/>
      <c r="AO18" s="25">
        <f t="shared" si="2"/>
        <v>62168</v>
      </c>
      <c r="AP18" s="77">
        <v>27166</v>
      </c>
      <c r="AQ18" s="69"/>
      <c r="AR18" s="41"/>
      <c r="AS18" s="30">
        <v>45406</v>
      </c>
      <c r="AT18" s="30"/>
      <c r="AU18" s="30"/>
      <c r="AV18" s="27">
        <f t="shared" si="3"/>
        <v>134740</v>
      </c>
      <c r="AW18" s="12"/>
      <c r="AX18" s="12"/>
      <c r="AY18" s="12"/>
      <c r="AZ18" s="12"/>
    </row>
    <row r="19" spans="1:52" ht="12.75">
      <c r="A19" s="28">
        <v>4</v>
      </c>
      <c r="B19" s="78" t="s">
        <v>52</v>
      </c>
      <c r="C19" s="68">
        <v>538200</v>
      </c>
      <c r="D19" s="69"/>
      <c r="E19" s="30">
        <v>27596</v>
      </c>
      <c r="F19" s="30">
        <v>140610</v>
      </c>
      <c r="G19" s="33">
        <v>15000</v>
      </c>
      <c r="H19" s="30"/>
      <c r="J19" s="25">
        <f t="shared" si="7"/>
        <v>183206</v>
      </c>
      <c r="K19" s="30">
        <v>47907</v>
      </c>
      <c r="L19" s="69"/>
      <c r="M19" s="41"/>
      <c r="N19" s="30"/>
      <c r="O19" s="30">
        <v>52089</v>
      </c>
      <c r="P19" s="30"/>
      <c r="Q19" s="27">
        <f t="shared" si="6"/>
        <v>283202</v>
      </c>
      <c r="R19" s="70" t="s">
        <v>53</v>
      </c>
      <c r="S19" s="71"/>
      <c r="T19" s="69"/>
      <c r="U19" s="30">
        <f>72352</f>
        <v>72352</v>
      </c>
      <c r="V19" s="30"/>
      <c r="W19" s="30">
        <v>400000</v>
      </c>
      <c r="X19" s="30"/>
      <c r="Y19" s="30"/>
      <c r="Z19" s="25">
        <f>T19+U19+V19+W19+X19+Y19</f>
        <v>472352</v>
      </c>
      <c r="AA19" s="30"/>
      <c r="AB19" s="69"/>
      <c r="AC19" s="30"/>
      <c r="AD19" s="30"/>
      <c r="AE19" s="30"/>
      <c r="AF19" s="30"/>
      <c r="AG19" s="27">
        <f t="shared" si="1"/>
        <v>472352</v>
      </c>
      <c r="AH19" s="74">
        <v>620000</v>
      </c>
      <c r="AI19" s="69"/>
      <c r="AJ19" s="30"/>
      <c r="AK19" s="30">
        <f>74308+4116</f>
        <v>78424</v>
      </c>
      <c r="AL19" s="30">
        <f>373580</f>
        <v>373580</v>
      </c>
      <c r="AM19" s="30"/>
      <c r="AN19" s="30">
        <v>99600</v>
      </c>
      <c r="AO19" s="25">
        <f t="shared" si="2"/>
        <v>551604</v>
      </c>
      <c r="AP19" s="30"/>
      <c r="AQ19" s="69"/>
      <c r="AR19" s="30"/>
      <c r="AS19" s="30"/>
      <c r="AT19" s="30"/>
      <c r="AU19" s="30"/>
      <c r="AV19" s="27">
        <f t="shared" si="3"/>
        <v>551604</v>
      </c>
      <c r="AW19" s="12"/>
      <c r="AX19" s="12"/>
      <c r="AY19" s="12"/>
      <c r="AZ19" s="12"/>
    </row>
    <row r="20" spans="1:52" ht="12.75">
      <c r="A20" s="28">
        <v>5</v>
      </c>
      <c r="B20" s="29" t="s">
        <v>54</v>
      </c>
      <c r="C20" s="68">
        <v>4550200</v>
      </c>
      <c r="D20" s="69">
        <f>28800+40450+17160</f>
        <v>86410</v>
      </c>
      <c r="E20" s="30">
        <f>61688+65810+118800+17160+10200</f>
        <v>273658</v>
      </c>
      <c r="F20" s="30">
        <f>16080+59442</f>
        <v>75522</v>
      </c>
      <c r="G20" s="30">
        <f>56832+16050+252000+17160+10615+4881+13140+39593+28800</f>
        <v>439071</v>
      </c>
      <c r="H20" s="30">
        <f>56832+39593+96000</f>
        <v>192425</v>
      </c>
      <c r="I20" s="30">
        <f>24150+56832+39304+30000</f>
        <v>150286</v>
      </c>
      <c r="J20" s="25">
        <f t="shared" si="7"/>
        <v>1217372</v>
      </c>
      <c r="K20" s="30">
        <f>56832+19500+39304</f>
        <v>115636</v>
      </c>
      <c r="L20" s="69">
        <f>39015+34950+56832+97000</f>
        <v>227797</v>
      </c>
      <c r="M20" s="30">
        <f>39015+19950+1200+56832</f>
        <v>116997</v>
      </c>
      <c r="N20" s="30">
        <f>39015+56832+19500</f>
        <v>115347</v>
      </c>
      <c r="O20" s="30">
        <f>19950+39015+56832</f>
        <v>115797</v>
      </c>
      <c r="P20" s="30">
        <f>19500+113664+39015+3000+63450+19950</f>
        <v>258579</v>
      </c>
      <c r="Q20" s="27">
        <f>J20+K20+L20+M20+N20+O20+P20</f>
        <v>2167525</v>
      </c>
      <c r="R20" s="11"/>
      <c r="S20" s="71"/>
      <c r="T20" s="69">
        <f>68528+38726</f>
        <v>107254</v>
      </c>
      <c r="U20" s="30">
        <f>56832+15000+19950+17420+56832</f>
        <v>166034</v>
      </c>
      <c r="V20" s="30">
        <f>20000+27380+18600+54740</f>
        <v>120720</v>
      </c>
      <c r="W20" s="30">
        <f>20400+59342+54740+113400+15069</f>
        <v>262951</v>
      </c>
      <c r="X20" s="30">
        <f>59342+38800+53920+60240+540000+540000+126000+126000+10000</f>
        <v>1554302</v>
      </c>
      <c r="Y20" s="30">
        <f>61320+39800+7200+99594</f>
        <v>207914</v>
      </c>
      <c r="Z20" s="25">
        <f>T20+U20+V20+W20+X20+Y20</f>
        <v>2419175</v>
      </c>
      <c r="AA20" s="30">
        <f>59342+53105+38800+53105</f>
        <v>204352</v>
      </c>
      <c r="AB20" s="69">
        <f>61320+119986.27+52288+50800+27076+38400</f>
        <v>349870.27</v>
      </c>
      <c r="AC20" s="30">
        <f>27076+52288+61320+119986+50800</f>
        <v>311470</v>
      </c>
      <c r="AD20" s="30">
        <f>27000+52288+179328+38800+120000</f>
        <v>417416</v>
      </c>
      <c r="AE20" s="30">
        <f>21812+39800+27154+181306+51880+38800</f>
        <v>360752</v>
      </c>
      <c r="AF20" s="30">
        <f>43995+51267+139017+66675+39800+18000+219500+59342+61320+14000</f>
        <v>712916</v>
      </c>
      <c r="AG20" s="27">
        <f t="shared" si="1"/>
        <v>4775951.27</v>
      </c>
      <c r="AH20" s="79">
        <f>6376000+600000</f>
        <v>6976000</v>
      </c>
      <c r="AI20" s="69">
        <f>68528</f>
        <v>68528</v>
      </c>
      <c r="AJ20" s="30"/>
      <c r="AK20" s="30">
        <f>45660+30850+268601+42163+46660+293203+28600+13800</f>
        <v>769537</v>
      </c>
      <c r="AL20" s="30">
        <f>30850+324618</f>
        <v>355468</v>
      </c>
      <c r="AM20" s="30">
        <f>99997.5+684000+30100+314147+540000+144000</f>
        <v>1812244.5</v>
      </c>
      <c r="AN20" s="30">
        <f>30850+46660+324618+39562+41400</f>
        <v>483090</v>
      </c>
      <c r="AO20" s="25">
        <f t="shared" si="2"/>
        <v>3488867.5</v>
      </c>
      <c r="AP20" s="30">
        <f>17940+40100+314147+46660</f>
        <v>418847</v>
      </c>
      <c r="AQ20" s="69">
        <f>209431+39850+46660+15819</f>
        <v>311760</v>
      </c>
      <c r="AR20" s="30">
        <f>35880+46660+420000+30850</f>
        <v>533390</v>
      </c>
      <c r="AS20" s="30">
        <f>46660+30100</f>
        <v>76760</v>
      </c>
      <c r="AT20" s="30"/>
      <c r="AU20" s="30"/>
      <c r="AV20" s="27">
        <f t="shared" si="3"/>
        <v>4829624.5</v>
      </c>
      <c r="AW20" s="12"/>
      <c r="AX20" s="12"/>
      <c r="AY20" s="12"/>
      <c r="AZ20" s="12"/>
    </row>
    <row r="21" spans="1:52" ht="12.75">
      <c r="A21" s="28">
        <v>6</v>
      </c>
      <c r="B21" s="29" t="s">
        <v>55</v>
      </c>
      <c r="C21" s="68">
        <v>200000</v>
      </c>
      <c r="D21" s="69"/>
      <c r="E21" s="30">
        <v>23700</v>
      </c>
      <c r="F21" s="30"/>
      <c r="G21" s="30"/>
      <c r="H21" s="30"/>
      <c r="I21" s="80"/>
      <c r="J21" s="25">
        <f t="shared" si="7"/>
        <v>23700</v>
      </c>
      <c r="K21" s="30"/>
      <c r="L21" s="69"/>
      <c r="M21" s="30"/>
      <c r="N21" s="30">
        <v>39000</v>
      </c>
      <c r="O21" s="30"/>
      <c r="P21" s="30"/>
      <c r="Q21" s="27">
        <f t="shared" si="6"/>
        <v>62700</v>
      </c>
      <c r="R21" s="70" t="s">
        <v>49</v>
      </c>
      <c r="S21" s="71"/>
      <c r="T21" s="69"/>
      <c r="U21" s="30"/>
      <c r="V21" s="30"/>
      <c r="W21" s="33"/>
      <c r="X21" s="30"/>
      <c r="Y21" s="30"/>
      <c r="Z21" s="25">
        <f aca="true" t="shared" si="8" ref="Z21:Z35">T21+U21+V21+W21+X21+Y21</f>
        <v>0</v>
      </c>
      <c r="AA21" s="30"/>
      <c r="AB21" s="69"/>
      <c r="AC21" s="30"/>
      <c r="AD21" s="30"/>
      <c r="AE21" s="30">
        <v>20000</v>
      </c>
      <c r="AF21" s="30"/>
      <c r="AG21" s="73">
        <f t="shared" si="1"/>
        <v>20000</v>
      </c>
      <c r="AH21" s="74">
        <v>10000000</v>
      </c>
      <c r="AI21" s="69"/>
      <c r="AJ21" s="30"/>
      <c r="AK21" s="30"/>
      <c r="AL21" s="33"/>
      <c r="AM21" s="30"/>
      <c r="AN21" s="30">
        <f>274500+274500</f>
        <v>549000</v>
      </c>
      <c r="AO21" s="25">
        <f t="shared" si="2"/>
        <v>549000</v>
      </c>
      <c r="AP21" s="30"/>
      <c r="AQ21" s="69"/>
      <c r="AR21" s="30"/>
      <c r="AS21" s="30"/>
      <c r="AT21" s="30"/>
      <c r="AU21" s="30"/>
      <c r="AV21" s="27">
        <f t="shared" si="3"/>
        <v>549000</v>
      </c>
      <c r="AW21" s="12"/>
      <c r="AX21" s="12"/>
      <c r="AY21" s="12"/>
      <c r="AZ21" s="12"/>
    </row>
    <row r="22" spans="1:52" ht="12.75">
      <c r="A22" s="28">
        <v>7</v>
      </c>
      <c r="B22" s="29" t="s">
        <v>56</v>
      </c>
      <c r="C22" s="68">
        <v>1783000</v>
      </c>
      <c r="D22" s="69"/>
      <c r="E22" s="30"/>
      <c r="F22" s="30">
        <v>326800</v>
      </c>
      <c r="G22" s="33"/>
      <c r="H22" s="30"/>
      <c r="I22" s="30">
        <v>286800</v>
      </c>
      <c r="J22" s="25">
        <f t="shared" si="7"/>
        <v>613600</v>
      </c>
      <c r="K22" s="30"/>
      <c r="L22" s="69">
        <v>204100</v>
      </c>
      <c r="M22" s="30"/>
      <c r="N22" s="30">
        <v>289600</v>
      </c>
      <c r="O22" s="30"/>
      <c r="P22" s="30">
        <v>411900</v>
      </c>
      <c r="Q22" s="27">
        <f t="shared" si="6"/>
        <v>1519200</v>
      </c>
      <c r="R22" s="70" t="s">
        <v>49</v>
      </c>
      <c r="S22" s="71"/>
      <c r="T22" s="81"/>
      <c r="U22" s="69"/>
      <c r="V22" s="30"/>
      <c r="W22" s="33">
        <f>27000+144000+132000+105000+20250</f>
        <v>428250</v>
      </c>
      <c r="X22" s="30">
        <v>278300</v>
      </c>
      <c r="Y22" s="30"/>
      <c r="Z22" s="25">
        <f t="shared" si="8"/>
        <v>706550</v>
      </c>
      <c r="AA22" s="30"/>
      <c r="AB22" s="69"/>
      <c r="AC22" s="30">
        <v>503900</v>
      </c>
      <c r="AD22" s="30"/>
      <c r="AE22" s="30"/>
      <c r="AF22" s="30">
        <v>284400</v>
      </c>
      <c r="AG22" s="73">
        <f t="shared" si="1"/>
        <v>1494850</v>
      </c>
      <c r="AH22" s="74">
        <v>1989000</v>
      </c>
      <c r="AI22" s="81"/>
      <c r="AJ22" s="69"/>
      <c r="AK22" s="30">
        <v>82400</v>
      </c>
      <c r="AL22" s="33"/>
      <c r="AM22" s="30"/>
      <c r="AN22" s="30">
        <v>435600</v>
      </c>
      <c r="AO22" s="25">
        <f t="shared" si="2"/>
        <v>518000</v>
      </c>
      <c r="AP22" s="30">
        <v>171200</v>
      </c>
      <c r="AQ22" s="69"/>
      <c r="AR22" s="30"/>
      <c r="AS22" s="30">
        <v>193300</v>
      </c>
      <c r="AT22" s="30"/>
      <c r="AU22" s="30"/>
      <c r="AV22" s="27">
        <f t="shared" si="3"/>
        <v>882500</v>
      </c>
      <c r="AW22" s="12"/>
      <c r="AX22" s="12"/>
      <c r="AY22" s="12"/>
      <c r="AZ22" s="12"/>
    </row>
    <row r="23" spans="1:55" ht="12.75">
      <c r="A23" s="28">
        <v>8</v>
      </c>
      <c r="B23" s="29" t="s">
        <v>57</v>
      </c>
      <c r="C23" s="68">
        <v>25100000</v>
      </c>
      <c r="D23" s="81">
        <f>255700+635649</f>
        <v>891349</v>
      </c>
      <c r="E23" s="69">
        <f>1362500+954000+84922+897080+85185</f>
        <v>3383687</v>
      </c>
      <c r="F23" s="30">
        <f>1384539+101159+1079281+522466+257700+1361000</f>
        <v>4706145</v>
      </c>
      <c r="G23" s="33">
        <f>1353000+1980900+399786</f>
        <v>3733686</v>
      </c>
      <c r="H23" s="30">
        <f>356809.92+1348000</f>
        <v>1704809.92</v>
      </c>
      <c r="I23" s="30">
        <f>304506.04+164723.92</f>
        <v>469229.95999999996</v>
      </c>
      <c r="J23" s="25">
        <f t="shared" si="7"/>
        <v>14888906.879999999</v>
      </c>
      <c r="K23" s="30">
        <v>97356</v>
      </c>
      <c r="L23" s="69">
        <f>657745.92+59160.45+348047.36</f>
        <v>1064953.73</v>
      </c>
      <c r="M23" s="30">
        <f>799555.94+1560800</f>
        <v>2360355.94</v>
      </c>
      <c r="N23" s="30">
        <v>301696.34</v>
      </c>
      <c r="O23" s="30"/>
      <c r="P23" s="30">
        <v>191612</v>
      </c>
      <c r="Q23" s="27">
        <f>J23+K23+L23+M23+N23+O23+P23</f>
        <v>18904880.89</v>
      </c>
      <c r="R23" s="70" t="s">
        <v>49</v>
      </c>
      <c r="S23" s="71"/>
      <c r="T23" s="69">
        <f>40000</f>
        <v>40000</v>
      </c>
      <c r="U23" s="30">
        <f>1330000+295160+271080</f>
        <v>1896240</v>
      </c>
      <c r="V23" s="30">
        <f>33915+99630+140442+69686+104529</f>
        <v>448202</v>
      </c>
      <c r="W23" s="30">
        <f>124084+1300000+99462+80428</f>
        <v>1603974</v>
      </c>
      <c r="X23" s="30">
        <f>1175334.84+1272000</f>
        <v>2447334.84</v>
      </c>
      <c r="Y23" s="30">
        <f>1893000+379298</f>
        <v>2272298</v>
      </c>
      <c r="Z23" s="25">
        <f t="shared" si="8"/>
        <v>8708048.84</v>
      </c>
      <c r="AA23" s="30">
        <f>155220+58700+597504</f>
        <v>811424</v>
      </c>
      <c r="AB23" s="69"/>
      <c r="AC23" s="30">
        <f>133698+115539+500761+2528000+107700</f>
        <v>3385698</v>
      </c>
      <c r="AD23" s="30">
        <v>73152</v>
      </c>
      <c r="AE23" s="30">
        <f>363566+435680+184785+243456+86995+1247000</f>
        <v>2561482</v>
      </c>
      <c r="AF23" s="30">
        <v>516180</v>
      </c>
      <c r="AG23" s="27">
        <f t="shared" si="1"/>
        <v>16055984.84</v>
      </c>
      <c r="AH23" s="79">
        <f>40358000-600000</f>
        <v>39758000</v>
      </c>
      <c r="AI23" s="69">
        <v>229000</v>
      </c>
      <c r="AJ23" s="30"/>
      <c r="AK23" s="30">
        <f>2498000+321654</f>
        <v>2819654</v>
      </c>
      <c r="AL23" s="30">
        <f>3723000+860120</f>
        <v>4583120</v>
      </c>
      <c r="AM23" s="30">
        <f>415420+377600+388459</f>
        <v>1181479</v>
      </c>
      <c r="AN23" s="30">
        <f>1092500+429795+218750+107000+51592+32606.6+102900+460667+3675000+2436000</f>
        <v>8606810.6</v>
      </c>
      <c r="AO23" s="25">
        <f t="shared" si="2"/>
        <v>17420063.6</v>
      </c>
      <c r="AP23" s="30">
        <f>1222000+85800+521400+21770+76632</f>
        <v>1927602</v>
      </c>
      <c r="AQ23" s="69"/>
      <c r="AR23" s="30">
        <f>2434000+238100+488380+241014+230100+389700+107133</f>
        <v>4128427</v>
      </c>
      <c r="AS23" s="30">
        <f>2472000+360100+89200+777104</f>
        <v>3698404</v>
      </c>
      <c r="AT23" s="30"/>
      <c r="AU23" s="30"/>
      <c r="AV23" s="26">
        <f t="shared" si="3"/>
        <v>27174496.6</v>
      </c>
      <c r="AW23" s="12"/>
      <c r="AX23" s="12"/>
      <c r="AY23" s="12"/>
      <c r="AZ23" s="12"/>
      <c r="BA23" s="82">
        <f>1562300</f>
        <v>1562300</v>
      </c>
      <c r="BB23" s="82">
        <f>AV23+BA23+1000000</f>
        <v>29736796.6</v>
      </c>
      <c r="BC23" s="82">
        <f>AV23-AV24</f>
        <v>18460000</v>
      </c>
    </row>
    <row r="24" spans="1:52" ht="12.75">
      <c r="A24" s="28"/>
      <c r="B24" s="83" t="s">
        <v>58</v>
      </c>
      <c r="C24" s="68"/>
      <c r="D24" s="81"/>
      <c r="E24" s="69"/>
      <c r="F24" s="30"/>
      <c r="G24" s="33"/>
      <c r="H24" s="30"/>
      <c r="I24" s="30"/>
      <c r="J24" s="25"/>
      <c r="K24" s="30"/>
      <c r="L24" s="69"/>
      <c r="M24" s="30"/>
      <c r="N24" s="30"/>
      <c r="O24" s="30"/>
      <c r="P24" s="30"/>
      <c r="Q24" s="27"/>
      <c r="R24" s="70"/>
      <c r="S24" s="71"/>
      <c r="T24" s="84">
        <v>40000</v>
      </c>
      <c r="U24" s="85">
        <f>295160+271080</f>
        <v>566240</v>
      </c>
      <c r="V24" s="85">
        <f>33915+99630+140442+69686+104529</f>
        <v>448202</v>
      </c>
      <c r="W24" s="85">
        <f>124084+99462+80428</f>
        <v>303974</v>
      </c>
      <c r="X24" s="85">
        <f>146258+125900+214525+252451.84+436200</f>
        <v>1175334.8399999999</v>
      </c>
      <c r="Y24" s="85">
        <v>379298</v>
      </c>
      <c r="Z24" s="86">
        <f>SUM(T24:Y24)</f>
        <v>2913048.84</v>
      </c>
      <c r="AA24" s="85">
        <f>155220+58700+597504</f>
        <v>811424</v>
      </c>
      <c r="AB24" s="69"/>
      <c r="AC24" s="85">
        <f>133698+115539+500761</f>
        <v>749998</v>
      </c>
      <c r="AD24" s="85">
        <v>73152</v>
      </c>
      <c r="AE24" s="85">
        <f>363566+435680+184785+243456+86995</f>
        <v>1314482</v>
      </c>
      <c r="AF24" s="85">
        <v>516180</v>
      </c>
      <c r="AG24" s="73">
        <f t="shared" si="1"/>
        <v>6378284.84</v>
      </c>
      <c r="AH24" s="71"/>
      <c r="AI24" s="84">
        <v>229000</v>
      </c>
      <c r="AJ24" s="85"/>
      <c r="AK24" s="85">
        <v>321654</v>
      </c>
      <c r="AL24" s="85">
        <v>860120</v>
      </c>
      <c r="AM24" s="85">
        <f>415420+377600+388459</f>
        <v>1181479</v>
      </c>
      <c r="AN24" s="30">
        <f>1092500+429795+218750+107000+51592+32606.6+102900+460667</f>
        <v>2495810.6</v>
      </c>
      <c r="AO24" s="86">
        <f>SUM(AI24:AN24)</f>
        <v>5088063.6</v>
      </c>
      <c r="AP24" s="85">
        <f>85800+521400+21770+76632</f>
        <v>705602</v>
      </c>
      <c r="AQ24" s="69"/>
      <c r="AR24" s="85">
        <f>238100+488380+241014+230100+389700+107133</f>
        <v>1694427</v>
      </c>
      <c r="AS24" s="85">
        <f>777104+360100+89200</f>
        <v>1226404</v>
      </c>
      <c r="AT24" s="85"/>
      <c r="AU24" s="85"/>
      <c r="AV24" s="87">
        <f t="shared" si="3"/>
        <v>8714496.6</v>
      </c>
      <c r="AW24" s="12"/>
      <c r="AX24" s="12"/>
      <c r="AY24" s="12"/>
      <c r="AZ24" s="12"/>
    </row>
    <row r="25" spans="1:52" ht="12.75">
      <c r="A25" s="28">
        <v>9</v>
      </c>
      <c r="B25" s="29" t="s">
        <v>59</v>
      </c>
      <c r="C25" s="68">
        <v>1860000</v>
      </c>
      <c r="D25" s="69">
        <v>90642.06</v>
      </c>
      <c r="E25" s="30">
        <v>110689</v>
      </c>
      <c r="F25" s="30">
        <v>124065</v>
      </c>
      <c r="G25" s="30">
        <v>122898</v>
      </c>
      <c r="H25" s="30">
        <f>3774.08+11370.95+10800+1880+1880+10317.98+33174.09+13770+23260.27</f>
        <v>110227.37</v>
      </c>
      <c r="I25" s="30">
        <v>59757.48</v>
      </c>
      <c r="J25" s="25">
        <f t="shared" si="7"/>
        <v>618278.9099999999</v>
      </c>
      <c r="K25" s="30">
        <v>137297</v>
      </c>
      <c r="L25" s="69">
        <v>107588</v>
      </c>
      <c r="M25" s="30">
        <v>170555.51</v>
      </c>
      <c r="N25" s="30">
        <v>89446.36</v>
      </c>
      <c r="O25" s="30">
        <v>108777</v>
      </c>
      <c r="P25" s="30">
        <f>7980+35055.08+9935.49+1880+1800+2580+18642.22</f>
        <v>77872.79000000001</v>
      </c>
      <c r="Q25" s="27">
        <f t="shared" si="6"/>
        <v>1309815.57</v>
      </c>
      <c r="R25" s="70" t="s">
        <v>49</v>
      </c>
      <c r="S25" s="71"/>
      <c r="T25" s="69">
        <f>1800+10300+1880+20657.32+4652.34+18381.82+6342+25877.77+6503.22</f>
        <v>96394.47</v>
      </c>
      <c r="U25" s="30">
        <f>17280+32496+11537</f>
        <v>61313</v>
      </c>
      <c r="V25" s="30">
        <f>1880+1800+7910+8799.99+2580+18750+3030.39+8299.99+8955.49+1800+1800+17280+27259</f>
        <v>110144.85999999999</v>
      </c>
      <c r="W25" s="30">
        <f>17810+8961.98+9100.01+3410.84+1880+1944.28+34259+17280</f>
        <v>94646.11</v>
      </c>
      <c r="X25" s="30">
        <v>81534.89</v>
      </c>
      <c r="Y25" s="30">
        <v>93167.99</v>
      </c>
      <c r="Z25" s="25">
        <f t="shared" si="8"/>
        <v>537201.32</v>
      </c>
      <c r="AA25" s="30">
        <v>84838.45</v>
      </c>
      <c r="AB25" s="69">
        <v>88195.6</v>
      </c>
      <c r="AC25" s="30">
        <v>94529</v>
      </c>
      <c r="AD25" s="30">
        <v>93606</v>
      </c>
      <c r="AE25" s="69">
        <v>57034</v>
      </c>
      <c r="AF25" s="30">
        <v>149864.24</v>
      </c>
      <c r="AG25" s="73">
        <f t="shared" si="1"/>
        <v>1105268.6099999999</v>
      </c>
      <c r="AH25" s="74">
        <v>2000000</v>
      </c>
      <c r="AI25" s="69">
        <v>87256.24</v>
      </c>
      <c r="AJ25" s="30"/>
      <c r="AK25" s="30">
        <v>194458.59</v>
      </c>
      <c r="AL25" s="30">
        <v>286137.86</v>
      </c>
      <c r="AM25" s="30">
        <v>142402.32</v>
      </c>
      <c r="AN25" s="30">
        <v>88343.22</v>
      </c>
      <c r="AO25" s="25">
        <f aca="true" t="shared" si="9" ref="AO25:AO35">AI25+AJ25+AK25+AL25+AM25+AN25</f>
        <v>798598.23</v>
      </c>
      <c r="AP25" s="30">
        <v>97563.51</v>
      </c>
      <c r="AQ25" s="69">
        <v>89245.5</v>
      </c>
      <c r="AR25" s="30">
        <v>64996.35</v>
      </c>
      <c r="AS25" s="30">
        <v>70055.5</v>
      </c>
      <c r="AT25" s="69"/>
      <c r="AU25" s="30"/>
      <c r="AV25" s="27">
        <f t="shared" si="3"/>
        <v>1120459.09</v>
      </c>
      <c r="AW25" s="12"/>
      <c r="AX25" s="12"/>
      <c r="AY25" s="12"/>
      <c r="AZ25" s="12"/>
    </row>
    <row r="26" spans="1:52" ht="12.75">
      <c r="A26" s="28">
        <v>10</v>
      </c>
      <c r="B26" s="29" t="s">
        <v>60</v>
      </c>
      <c r="C26" s="68">
        <v>100000</v>
      </c>
      <c r="D26" s="69">
        <v>2700</v>
      </c>
      <c r="E26" s="30">
        <v>1400</v>
      </c>
      <c r="F26" s="30">
        <v>2100</v>
      </c>
      <c r="G26" s="30">
        <v>2800</v>
      </c>
      <c r="H26" s="30">
        <v>1300</v>
      </c>
      <c r="I26" s="30">
        <v>2100</v>
      </c>
      <c r="J26" s="25">
        <f t="shared" si="7"/>
        <v>12400</v>
      </c>
      <c r="K26" s="30">
        <v>1700</v>
      </c>
      <c r="L26" s="69">
        <v>3900</v>
      </c>
      <c r="M26" s="30">
        <v>3100</v>
      </c>
      <c r="N26" s="30">
        <v>2900</v>
      </c>
      <c r="O26" s="69">
        <v>1900</v>
      </c>
      <c r="P26" s="30">
        <v>5500</v>
      </c>
      <c r="Q26" s="27">
        <f t="shared" si="6"/>
        <v>31400</v>
      </c>
      <c r="R26" s="70" t="s">
        <v>49</v>
      </c>
      <c r="S26" s="71"/>
      <c r="T26" s="69">
        <f>1000+3100</f>
        <v>4100</v>
      </c>
      <c r="U26" s="30">
        <v>1800</v>
      </c>
      <c r="V26" s="30">
        <v>4700</v>
      </c>
      <c r="W26" s="30">
        <v>3900</v>
      </c>
      <c r="X26" s="30">
        <v>5400</v>
      </c>
      <c r="Y26" s="30">
        <v>1800</v>
      </c>
      <c r="Z26" s="25">
        <f t="shared" si="8"/>
        <v>21700</v>
      </c>
      <c r="AA26" s="30">
        <v>2100</v>
      </c>
      <c r="AB26" s="69">
        <v>3800</v>
      </c>
      <c r="AC26" s="30">
        <v>4000</v>
      </c>
      <c r="AD26" s="30">
        <v>3400</v>
      </c>
      <c r="AE26" s="30">
        <v>3300</v>
      </c>
      <c r="AF26" s="30">
        <v>5900</v>
      </c>
      <c r="AG26" s="73">
        <f t="shared" si="1"/>
        <v>44200</v>
      </c>
      <c r="AH26" s="74">
        <v>100000</v>
      </c>
      <c r="AI26" s="69">
        <v>4100</v>
      </c>
      <c r="AJ26" s="30">
        <v>700</v>
      </c>
      <c r="AK26" s="30">
        <v>5300</v>
      </c>
      <c r="AL26" s="30">
        <v>5400</v>
      </c>
      <c r="AM26" s="30">
        <v>5300</v>
      </c>
      <c r="AN26" s="30">
        <v>5500</v>
      </c>
      <c r="AO26" s="25">
        <f t="shared" si="9"/>
        <v>26300</v>
      </c>
      <c r="AP26" s="30">
        <v>4900</v>
      </c>
      <c r="AQ26" s="69">
        <v>2700</v>
      </c>
      <c r="AR26" s="30">
        <v>5000</v>
      </c>
      <c r="AS26" s="30">
        <v>3100</v>
      </c>
      <c r="AT26" s="30"/>
      <c r="AU26" s="30"/>
      <c r="AV26" s="27">
        <f t="shared" si="3"/>
        <v>42000</v>
      </c>
      <c r="AW26" s="12"/>
      <c r="AX26" s="12"/>
      <c r="AY26" s="12"/>
      <c r="AZ26" s="12"/>
    </row>
    <row r="27" spans="1:52" ht="12.75">
      <c r="A27" s="28">
        <v>11</v>
      </c>
      <c r="B27" s="29" t="s">
        <v>61</v>
      </c>
      <c r="C27" s="68">
        <v>102365000</v>
      </c>
      <c r="D27" s="69">
        <v>4110213</v>
      </c>
      <c r="E27" s="30">
        <v>4958903</v>
      </c>
      <c r="F27" s="30">
        <v>4565356</v>
      </c>
      <c r="G27" s="30">
        <v>4607912.85</v>
      </c>
      <c r="H27" s="30">
        <v>6016610</v>
      </c>
      <c r="I27" s="30"/>
      <c r="J27" s="25">
        <f>D27+E27+F27+G27+H27+I27</f>
        <v>24258994.85</v>
      </c>
      <c r="K27" s="30">
        <v>9690873</v>
      </c>
      <c r="L27" s="69">
        <v>4630639.49</v>
      </c>
      <c r="M27" s="30">
        <v>4667175.36</v>
      </c>
      <c r="N27" s="30">
        <v>4640270.73</v>
      </c>
      <c r="O27" s="30">
        <v>5659288.69</v>
      </c>
      <c r="P27" s="30">
        <v>6345089.49</v>
      </c>
      <c r="Q27" s="27">
        <f t="shared" si="6"/>
        <v>59892331.61000001</v>
      </c>
      <c r="R27" s="11">
        <f>583818+668736.86+637724.34+655591.34+1428883.72+1058550+726394.84+670677.84+666154.84+663893.34+872825.3+1174907.4</f>
        <v>9808157.82</v>
      </c>
      <c r="S27" s="71"/>
      <c r="T27" s="69">
        <v>5530896.19</v>
      </c>
      <c r="U27" s="30">
        <f>655753.77+4728729</f>
        <v>5384482.77</v>
      </c>
      <c r="V27" s="30">
        <f>753017+4570275.1</f>
        <v>5323292.1</v>
      </c>
      <c r="W27" s="30">
        <v>4720058.25</v>
      </c>
      <c r="X27" s="88">
        <v>4436802.89</v>
      </c>
      <c r="Y27" s="30">
        <v>4409978.86</v>
      </c>
      <c r="Z27" s="25">
        <f t="shared" si="8"/>
        <v>29805511.060000002</v>
      </c>
      <c r="AA27" s="30">
        <v>7609346.67</v>
      </c>
      <c r="AB27" s="69">
        <v>5404396.98</v>
      </c>
      <c r="AC27" s="30">
        <v>4322364.69</v>
      </c>
      <c r="AD27" s="30">
        <v>6046989.28</v>
      </c>
      <c r="AE27" s="30">
        <v>4432680</v>
      </c>
      <c r="AF27" s="30">
        <v>8102853.42</v>
      </c>
      <c r="AG27" s="73">
        <f t="shared" si="1"/>
        <v>65724142.10000001</v>
      </c>
      <c r="AH27" s="74">
        <v>170750000</v>
      </c>
      <c r="AI27" s="69">
        <v>6626111.85</v>
      </c>
      <c r="AJ27" s="30"/>
      <c r="AK27" s="30">
        <v>4990181.45</v>
      </c>
      <c r="AL27" s="30">
        <v>4944238.31</v>
      </c>
      <c r="AM27" s="88">
        <f>4987309.13+4855094.74</f>
        <v>9842403.870000001</v>
      </c>
      <c r="AN27" s="30">
        <v>7407991.74</v>
      </c>
      <c r="AO27" s="25">
        <f t="shared" si="9"/>
        <v>33810927.22</v>
      </c>
      <c r="AP27" s="30">
        <v>8581696.54</v>
      </c>
      <c r="AQ27" s="69">
        <f>85045.21</f>
        <v>85045.21</v>
      </c>
      <c r="AR27" s="30">
        <f>5370885.26</f>
        <v>5370885.26</v>
      </c>
      <c r="AS27" s="30">
        <f>5728412+16931.2+5595149.04</f>
        <v>11340492.24</v>
      </c>
      <c r="AT27" s="30"/>
      <c r="AU27" s="30"/>
      <c r="AV27" s="27">
        <f t="shared" si="3"/>
        <v>59189046.47</v>
      </c>
      <c r="AW27" s="12"/>
      <c r="AX27" s="89">
        <f>108621.97+107478.95+90084.6+90463.6+108331.95+90084.6+188651.05+90845.45+90418.95+91743.45</f>
        <v>1056724.5699999998</v>
      </c>
      <c r="AY27" s="89">
        <f>346707.6+279469.6+300877.6+280004.6+298893.6+278287.6+477325.05+251197.2+249965.2+257419.42</f>
        <v>3020147.47</v>
      </c>
      <c r="AZ27" s="90">
        <f>AV27+AX27+AY27</f>
        <v>63265918.51</v>
      </c>
    </row>
    <row r="28" spans="1:54" ht="12.75">
      <c r="A28" s="28">
        <v>12</v>
      </c>
      <c r="B28" s="29" t="s">
        <v>62</v>
      </c>
      <c r="C28" s="68">
        <v>9260000</v>
      </c>
      <c r="D28" s="69">
        <f>1584893+1210093</f>
        <v>2794986</v>
      </c>
      <c r="E28" s="30">
        <f>1058019+779464</f>
        <v>1837483</v>
      </c>
      <c r="F28" s="30">
        <f>1100164+1052765</f>
        <v>2152929</v>
      </c>
      <c r="G28" s="30">
        <f>1096264+925864</f>
        <v>2022128</v>
      </c>
      <c r="H28" s="88">
        <f>1095888+938454</f>
        <v>2034342</v>
      </c>
      <c r="I28" s="30">
        <f>1282369+1575411</f>
        <v>2857780</v>
      </c>
      <c r="J28" s="25">
        <f>D28+E28+F28+G28+H28+I28</f>
        <v>13699648</v>
      </c>
      <c r="K28" s="30">
        <f>1156138+1136655</f>
        <v>2292793</v>
      </c>
      <c r="L28" s="69">
        <f>1161229+1081543</f>
        <v>2242772</v>
      </c>
      <c r="M28" s="30">
        <f>1149323+960757</f>
        <v>2110080</v>
      </c>
      <c r="N28" s="30">
        <f>1144075+969157</f>
        <v>2113232</v>
      </c>
      <c r="O28" s="30">
        <f>1154574+961319</f>
        <v>2115893</v>
      </c>
      <c r="P28" s="30">
        <f>1216878+1324308</f>
        <v>2541186</v>
      </c>
      <c r="Q28" s="27">
        <f t="shared" si="6"/>
        <v>27115604</v>
      </c>
      <c r="R28" s="11"/>
      <c r="S28" s="71"/>
      <c r="T28" s="69">
        <f>1294951+1609383</f>
        <v>2904334</v>
      </c>
      <c r="U28" s="32">
        <f>1314491+1486502</f>
        <v>2800993</v>
      </c>
      <c r="V28" s="30">
        <f>1188446+968950</f>
        <v>2157396</v>
      </c>
      <c r="W28" s="30">
        <f>1268444+1147663</f>
        <v>2416107</v>
      </c>
      <c r="X28" s="30">
        <f>1206297+956437</f>
        <v>2162734</v>
      </c>
      <c r="Y28" s="30">
        <f>1153980+874926</f>
        <v>2028906</v>
      </c>
      <c r="Z28" s="25">
        <f t="shared" si="8"/>
        <v>14470470</v>
      </c>
      <c r="AA28" s="30">
        <f>1172189+870299</f>
        <v>2042488</v>
      </c>
      <c r="AB28" s="69">
        <f>1340505+1943146</f>
        <v>3283651</v>
      </c>
      <c r="AC28" s="30">
        <f>1124617+855534+173475</f>
        <v>2153626</v>
      </c>
      <c r="AD28" s="30">
        <f>1110888+848495</f>
        <v>1959383</v>
      </c>
      <c r="AE28" s="30">
        <f>1202713+1420119</f>
        <v>2622832</v>
      </c>
      <c r="AF28" s="30">
        <f>1158399+864637</f>
        <v>2023036</v>
      </c>
      <c r="AG28" s="73">
        <f t="shared" si="1"/>
        <v>28555486</v>
      </c>
      <c r="AH28" s="74">
        <v>13000000</v>
      </c>
      <c r="AI28" s="69">
        <f>1399806+2009124</f>
        <v>3408930</v>
      </c>
      <c r="AJ28" s="32">
        <f>1297466+1466047</f>
        <v>2763513</v>
      </c>
      <c r="AK28" s="30">
        <f>1241275+966769</f>
        <v>2208044</v>
      </c>
      <c r="AL28" s="30">
        <f>1239199+915846</f>
        <v>2155045</v>
      </c>
      <c r="AM28" s="30">
        <f>1233252+920778</f>
        <v>2154030</v>
      </c>
      <c r="AN28" s="30">
        <f>1221808+941344</f>
        <v>2163152</v>
      </c>
      <c r="AO28" s="25">
        <f t="shared" si="9"/>
        <v>14852714</v>
      </c>
      <c r="AP28" s="30">
        <f>1349871+1656160</f>
        <v>3006031</v>
      </c>
      <c r="AQ28" s="69">
        <f>1532382+2035184</f>
        <v>3567566</v>
      </c>
      <c r="AR28" s="30">
        <f>1399586+971901</f>
        <v>2371487</v>
      </c>
      <c r="AS28" s="30">
        <f>1468958+1001445</f>
        <v>2470403</v>
      </c>
      <c r="AT28" s="30"/>
      <c r="AU28" s="30"/>
      <c r="AV28" s="27">
        <f t="shared" si="3"/>
        <v>26268201</v>
      </c>
      <c r="AW28" s="12"/>
      <c r="AX28" s="12"/>
      <c r="AY28" s="12"/>
      <c r="AZ28" s="12"/>
      <c r="BA28">
        <f>616170+196684+605514+154217+614952+118417+618366+114590+614557+114728+605880+116090+618731+169627+688355+204020+705964+123244</f>
        <v>7000106</v>
      </c>
      <c r="BB28" s="91">
        <v>0.167</v>
      </c>
    </row>
    <row r="29" spans="1:52" ht="12.75">
      <c r="A29" s="28">
        <v>13</v>
      </c>
      <c r="B29" s="29" t="s">
        <v>63</v>
      </c>
      <c r="C29" s="68"/>
      <c r="D29" s="69"/>
      <c r="F29" s="30"/>
      <c r="G29" s="33"/>
      <c r="H29" s="30"/>
      <c r="I29" s="30"/>
      <c r="J29" s="25"/>
      <c r="K29" s="20"/>
      <c r="L29" s="69"/>
      <c r="M29" s="30"/>
      <c r="N29" s="30"/>
      <c r="O29" s="30"/>
      <c r="P29" s="30"/>
      <c r="Q29" s="11">
        <f t="shared" si="6"/>
        <v>0</v>
      </c>
      <c r="R29" s="11"/>
      <c r="S29" s="71"/>
      <c r="T29" s="69"/>
      <c r="U29" s="30"/>
      <c r="V29" s="30"/>
      <c r="W29" s="33"/>
      <c r="X29" s="30"/>
      <c r="Y29" s="30"/>
      <c r="Z29" s="25">
        <f t="shared" si="8"/>
        <v>0</v>
      </c>
      <c r="AA29" s="20"/>
      <c r="AB29" s="69"/>
      <c r="AC29" s="30"/>
      <c r="AD29" s="30"/>
      <c r="AE29" s="30"/>
      <c r="AF29" s="30"/>
      <c r="AG29" s="27">
        <f t="shared" si="1"/>
        <v>0</v>
      </c>
      <c r="AH29" s="71"/>
      <c r="AI29" s="69"/>
      <c r="AJ29" s="30"/>
      <c r="AK29" s="30"/>
      <c r="AL29" s="33"/>
      <c r="AM29" s="30"/>
      <c r="AN29" s="30"/>
      <c r="AO29" s="25">
        <f t="shared" si="9"/>
        <v>0</v>
      </c>
      <c r="AP29" s="20"/>
      <c r="AQ29" s="69"/>
      <c r="AR29" s="30"/>
      <c r="AS29" s="30"/>
      <c r="AT29" s="30"/>
      <c r="AU29" s="30"/>
      <c r="AV29" s="27">
        <f t="shared" si="3"/>
        <v>0</v>
      </c>
      <c r="AW29" s="12"/>
      <c r="AX29" s="12"/>
      <c r="AY29" s="12"/>
      <c r="AZ29" s="12"/>
    </row>
    <row r="30" spans="1:52" ht="12.75">
      <c r="A30" s="28"/>
      <c r="B30" s="29" t="s">
        <v>64</v>
      </c>
      <c r="C30" s="68"/>
      <c r="D30" s="69"/>
      <c r="F30" s="30"/>
      <c r="G30" s="33"/>
      <c r="H30" s="30"/>
      <c r="I30" s="30"/>
      <c r="J30" s="25"/>
      <c r="K30" s="20"/>
      <c r="L30" s="69"/>
      <c r="M30" s="30"/>
      <c r="N30" s="30"/>
      <c r="O30" s="30"/>
      <c r="P30" s="30"/>
      <c r="Q30" s="11"/>
      <c r="R30" s="11"/>
      <c r="S30" s="71"/>
      <c r="T30" s="69"/>
      <c r="U30" s="30"/>
      <c r="V30" s="30"/>
      <c r="W30" s="33"/>
      <c r="X30" s="30"/>
      <c r="Y30" s="30"/>
      <c r="Z30" s="25"/>
      <c r="AA30" s="20"/>
      <c r="AB30" s="69"/>
      <c r="AC30" s="30"/>
      <c r="AD30" s="30"/>
      <c r="AE30" s="30"/>
      <c r="AF30" s="30"/>
      <c r="AG30" s="27"/>
      <c r="AH30" s="71"/>
      <c r="AI30" s="69"/>
      <c r="AJ30" s="30"/>
      <c r="AK30" s="30">
        <v>72000</v>
      </c>
      <c r="AL30" s="33"/>
      <c r="AM30" s="30"/>
      <c r="AN30" s="30"/>
      <c r="AO30" s="25">
        <f t="shared" si="9"/>
        <v>72000</v>
      </c>
      <c r="AP30" s="20"/>
      <c r="AQ30" s="69"/>
      <c r="AR30" s="30"/>
      <c r="AS30" s="30"/>
      <c r="AT30" s="30"/>
      <c r="AU30" s="30"/>
      <c r="AV30" s="27">
        <f t="shared" si="3"/>
        <v>72000</v>
      </c>
      <c r="AW30" s="12"/>
      <c r="AX30" s="12"/>
      <c r="AY30" s="12"/>
      <c r="AZ30" s="12"/>
    </row>
    <row r="31" spans="1:52" ht="12.75">
      <c r="A31" s="28">
        <v>14</v>
      </c>
      <c r="B31" s="29" t="s">
        <v>65</v>
      </c>
      <c r="C31" s="68"/>
      <c r="D31" s="69"/>
      <c r="E31" s="30"/>
      <c r="F31" s="30"/>
      <c r="G31" s="33"/>
      <c r="H31" s="30"/>
      <c r="I31" s="30"/>
      <c r="J31" s="25">
        <f t="shared" si="7"/>
        <v>0</v>
      </c>
      <c r="K31" s="20"/>
      <c r="L31" s="69"/>
      <c r="M31" s="30"/>
      <c r="N31" s="30"/>
      <c r="O31" s="30"/>
      <c r="P31" s="30"/>
      <c r="Q31" s="11">
        <f t="shared" si="6"/>
        <v>0</v>
      </c>
      <c r="R31" s="11"/>
      <c r="S31" s="71"/>
      <c r="T31" s="69"/>
      <c r="U31" s="30"/>
      <c r="V31" s="30"/>
      <c r="W31" s="33"/>
      <c r="X31" s="30"/>
      <c r="Y31" s="30"/>
      <c r="Z31" s="25">
        <f t="shared" si="8"/>
        <v>0</v>
      </c>
      <c r="AA31" s="20"/>
      <c r="AB31" s="69"/>
      <c r="AC31" s="30"/>
      <c r="AD31" s="30"/>
      <c r="AE31" s="30"/>
      <c r="AF31" s="30"/>
      <c r="AG31" s="27">
        <f t="shared" si="1"/>
        <v>0</v>
      </c>
      <c r="AH31" s="71"/>
      <c r="AI31" s="69"/>
      <c r="AJ31" s="30"/>
      <c r="AK31" s="30"/>
      <c r="AL31" s="33"/>
      <c r="AM31" s="30"/>
      <c r="AN31" s="30"/>
      <c r="AO31" s="25">
        <f t="shared" si="9"/>
        <v>0</v>
      </c>
      <c r="AP31" s="20"/>
      <c r="AQ31" s="69"/>
      <c r="AR31" s="30"/>
      <c r="AS31" s="30"/>
      <c r="AT31" s="30"/>
      <c r="AU31" s="30"/>
      <c r="AV31" s="27">
        <f t="shared" si="3"/>
        <v>0</v>
      </c>
      <c r="AW31" s="12"/>
      <c r="AX31" s="12"/>
      <c r="AY31" s="12"/>
      <c r="AZ31" s="12"/>
    </row>
    <row r="32" spans="1:52" ht="12.75">
      <c r="A32" s="28">
        <v>15</v>
      </c>
      <c r="B32" s="29" t="s">
        <v>66</v>
      </c>
      <c r="C32" s="68"/>
      <c r="D32" s="69"/>
      <c r="E32" s="30"/>
      <c r="F32" s="30"/>
      <c r="G32" s="33"/>
      <c r="H32" s="30"/>
      <c r="I32" s="30"/>
      <c r="J32" s="25">
        <f t="shared" si="7"/>
        <v>0</v>
      </c>
      <c r="K32" s="20"/>
      <c r="L32" s="69"/>
      <c r="M32" s="30"/>
      <c r="N32" s="30"/>
      <c r="O32" s="30"/>
      <c r="P32" s="30"/>
      <c r="Q32" s="11">
        <f t="shared" si="6"/>
        <v>0</v>
      </c>
      <c r="R32" s="11"/>
      <c r="S32" s="71"/>
      <c r="T32" s="69"/>
      <c r="U32" s="30"/>
      <c r="V32" s="30"/>
      <c r="W32" s="33"/>
      <c r="X32" s="30"/>
      <c r="Y32" s="30"/>
      <c r="Z32" s="25">
        <f t="shared" si="8"/>
        <v>0</v>
      </c>
      <c r="AA32" s="30"/>
      <c r="AB32" s="69"/>
      <c r="AC32" s="30"/>
      <c r="AD32" s="30"/>
      <c r="AF32" s="30">
        <v>130000</v>
      </c>
      <c r="AG32" s="73">
        <f t="shared" si="1"/>
        <v>130000</v>
      </c>
      <c r="AH32" s="71"/>
      <c r="AI32" s="69"/>
      <c r="AJ32" s="30"/>
      <c r="AK32" s="30"/>
      <c r="AL32" s="33"/>
      <c r="AM32" s="30"/>
      <c r="AN32" s="30"/>
      <c r="AO32" s="25">
        <f t="shared" si="9"/>
        <v>0</v>
      </c>
      <c r="AP32" s="30"/>
      <c r="AQ32" s="69"/>
      <c r="AR32" s="30"/>
      <c r="AS32" s="30"/>
      <c r="AU32" s="30"/>
      <c r="AV32" s="27">
        <f t="shared" si="3"/>
        <v>0</v>
      </c>
      <c r="AW32" s="12"/>
      <c r="AX32" s="12"/>
      <c r="AY32" s="12"/>
      <c r="AZ32" s="12"/>
    </row>
    <row r="33" spans="1:52" ht="12.75">
      <c r="A33" s="28">
        <v>16</v>
      </c>
      <c r="B33" s="29" t="s">
        <v>67</v>
      </c>
      <c r="C33" s="68"/>
      <c r="D33" s="69">
        <v>3000000</v>
      </c>
      <c r="E33" s="30"/>
      <c r="F33" s="30"/>
      <c r="G33" s="33">
        <v>3000000</v>
      </c>
      <c r="H33" s="30"/>
      <c r="I33" s="30"/>
      <c r="J33" s="25">
        <f t="shared" si="7"/>
        <v>6000000</v>
      </c>
      <c r="K33" s="30"/>
      <c r="L33" s="69">
        <v>3000000</v>
      </c>
      <c r="M33" s="30"/>
      <c r="N33" s="30"/>
      <c r="P33" s="30">
        <v>2000000</v>
      </c>
      <c r="Q33" s="11">
        <f t="shared" si="6"/>
        <v>11000000</v>
      </c>
      <c r="R33" s="70" t="s">
        <v>49</v>
      </c>
      <c r="S33" s="71"/>
      <c r="T33" s="69">
        <v>3000000</v>
      </c>
      <c r="U33" s="30"/>
      <c r="V33" s="30"/>
      <c r="W33" s="30">
        <v>1000000</v>
      </c>
      <c r="X33" s="30"/>
      <c r="Y33" s="30"/>
      <c r="Z33" s="25">
        <f t="shared" si="8"/>
        <v>4000000</v>
      </c>
      <c r="AA33" s="20"/>
      <c r="AB33" s="69">
        <f>2000000+1000000</f>
        <v>3000000</v>
      </c>
      <c r="AC33" s="30"/>
      <c r="AD33" s="30"/>
      <c r="AE33" s="30"/>
      <c r="AF33" s="30"/>
      <c r="AG33" s="27">
        <f t="shared" si="1"/>
        <v>7000000</v>
      </c>
      <c r="AH33" s="71"/>
      <c r="AI33" s="92">
        <v>2000000</v>
      </c>
      <c r="AJ33" s="30"/>
      <c r="AK33" s="30"/>
      <c r="AL33" s="30"/>
      <c r="AM33" s="41">
        <v>1500000</v>
      </c>
      <c r="AN33" s="30"/>
      <c r="AO33" s="25">
        <f t="shared" si="9"/>
        <v>3500000</v>
      </c>
      <c r="AP33" s="93">
        <v>2000000</v>
      </c>
      <c r="AQ33" s="69"/>
      <c r="AR33" s="30"/>
      <c r="AS33" s="30"/>
      <c r="AT33" s="30"/>
      <c r="AU33" s="30"/>
      <c r="AV33" s="27">
        <f t="shared" si="3"/>
        <v>5500000</v>
      </c>
      <c r="AW33" s="12"/>
      <c r="AX33" s="94">
        <v>1500000</v>
      </c>
      <c r="AY33" s="95">
        <f>2000000+2000000</f>
        <v>4000000</v>
      </c>
      <c r="AZ33" s="12"/>
    </row>
    <row r="34" spans="1:52" ht="12.75">
      <c r="A34" s="28">
        <v>17</v>
      </c>
      <c r="B34" s="29" t="s">
        <v>68</v>
      </c>
      <c r="C34" s="68">
        <v>5000000</v>
      </c>
      <c r="D34" s="69"/>
      <c r="E34" s="30"/>
      <c r="F34" s="30"/>
      <c r="G34" s="33"/>
      <c r="H34" s="30"/>
      <c r="I34" s="30"/>
      <c r="J34" s="25">
        <f t="shared" si="7"/>
        <v>0</v>
      </c>
      <c r="K34" s="20"/>
      <c r="L34" s="69"/>
      <c r="M34" s="30"/>
      <c r="N34" s="30"/>
      <c r="O34" s="30"/>
      <c r="P34" s="30"/>
      <c r="Q34" s="11">
        <f t="shared" si="6"/>
        <v>0</v>
      </c>
      <c r="R34" s="11"/>
      <c r="S34" s="71"/>
      <c r="T34" s="69"/>
      <c r="U34" s="30"/>
      <c r="V34" s="30"/>
      <c r="W34" s="33"/>
      <c r="X34" s="30"/>
      <c r="Y34" s="30"/>
      <c r="Z34" s="25">
        <f t="shared" si="8"/>
        <v>0</v>
      </c>
      <c r="AA34" s="20"/>
      <c r="AB34" s="69"/>
      <c r="AC34" s="30"/>
      <c r="AD34" s="30"/>
      <c r="AE34" s="30"/>
      <c r="AF34" s="30"/>
      <c r="AG34" s="27">
        <f t="shared" si="1"/>
        <v>0</v>
      </c>
      <c r="AH34" s="71"/>
      <c r="AI34" s="69"/>
      <c r="AJ34" s="30"/>
      <c r="AK34" s="30"/>
      <c r="AL34" s="33"/>
      <c r="AM34" s="30"/>
      <c r="AN34" s="30"/>
      <c r="AO34" s="25">
        <f t="shared" si="9"/>
        <v>0</v>
      </c>
      <c r="AP34" s="20"/>
      <c r="AQ34" s="69"/>
      <c r="AR34" s="30"/>
      <c r="AS34" s="30"/>
      <c r="AT34" s="30"/>
      <c r="AU34" s="30"/>
      <c r="AV34" s="27">
        <f t="shared" si="3"/>
        <v>0</v>
      </c>
      <c r="AW34" s="12"/>
      <c r="AX34" s="12"/>
      <c r="AY34" s="12"/>
      <c r="AZ34" s="12"/>
    </row>
    <row r="35" spans="1:52" ht="12.75">
      <c r="A35" s="28">
        <v>18</v>
      </c>
      <c r="B35" s="29" t="s">
        <v>69</v>
      </c>
      <c r="C35" s="68"/>
      <c r="D35" s="69"/>
      <c r="E35" s="30"/>
      <c r="F35" s="30"/>
      <c r="G35" s="33"/>
      <c r="H35" s="30"/>
      <c r="I35" s="30"/>
      <c r="J35" s="25">
        <f t="shared" si="7"/>
        <v>0</v>
      </c>
      <c r="K35" s="20"/>
      <c r="L35" s="69"/>
      <c r="M35" s="30"/>
      <c r="N35" s="30"/>
      <c r="O35" s="30"/>
      <c r="P35" s="30"/>
      <c r="Q35" s="11">
        <f t="shared" si="6"/>
        <v>0</v>
      </c>
      <c r="R35" s="11"/>
      <c r="S35" s="71"/>
      <c r="T35" s="69"/>
      <c r="U35" s="30"/>
      <c r="V35" s="30"/>
      <c r="W35" s="33"/>
      <c r="X35" s="30"/>
      <c r="Y35" s="30"/>
      <c r="Z35" s="25">
        <f t="shared" si="8"/>
        <v>0</v>
      </c>
      <c r="AA35" s="30"/>
      <c r="AB35" s="69"/>
      <c r="AC35" s="30"/>
      <c r="AD35" s="30"/>
      <c r="AE35" s="30"/>
      <c r="AF35" s="30"/>
      <c r="AG35" s="27">
        <f t="shared" si="1"/>
        <v>0</v>
      </c>
      <c r="AH35" s="71"/>
      <c r="AI35" s="69"/>
      <c r="AJ35" s="30"/>
      <c r="AK35" s="30"/>
      <c r="AL35" s="33"/>
      <c r="AM35" s="30"/>
      <c r="AN35" s="30"/>
      <c r="AO35" s="25">
        <f t="shared" si="9"/>
        <v>0</v>
      </c>
      <c r="AP35" s="30"/>
      <c r="AQ35" s="69"/>
      <c r="AR35" s="30"/>
      <c r="AS35" s="30"/>
      <c r="AT35" s="30"/>
      <c r="AU35" s="30"/>
      <c r="AV35" s="27">
        <f t="shared" si="3"/>
        <v>0</v>
      </c>
      <c r="AW35" s="12"/>
      <c r="AX35" s="12"/>
      <c r="AY35" s="12"/>
      <c r="AZ35" s="12"/>
    </row>
    <row r="36" spans="1:52" ht="12.75">
      <c r="A36" s="28">
        <v>19</v>
      </c>
      <c r="B36" s="29" t="s">
        <v>70</v>
      </c>
      <c r="C36" s="68"/>
      <c r="D36" s="69"/>
      <c r="E36" s="30"/>
      <c r="F36" s="30"/>
      <c r="G36" s="33"/>
      <c r="H36" s="30"/>
      <c r="I36" s="30"/>
      <c r="J36" s="25">
        <f t="shared" si="7"/>
        <v>0</v>
      </c>
      <c r="K36" s="30">
        <v>193758</v>
      </c>
      <c r="L36" s="69"/>
      <c r="M36" s="30"/>
      <c r="N36" s="30"/>
      <c r="O36" s="30"/>
      <c r="P36" s="30"/>
      <c r="Q36" s="11">
        <f t="shared" si="6"/>
        <v>193758</v>
      </c>
      <c r="R36" s="70" t="s">
        <v>49</v>
      </c>
      <c r="S36" s="69"/>
      <c r="T36" s="69"/>
      <c r="U36" s="30"/>
      <c r="V36" s="30"/>
      <c r="W36" s="33"/>
      <c r="X36" s="30"/>
      <c r="Y36" s="30"/>
      <c r="Z36" s="25"/>
      <c r="AA36" s="20"/>
      <c r="AB36" s="69"/>
      <c r="AC36" s="30"/>
      <c r="AD36" s="30"/>
      <c r="AE36" s="30"/>
      <c r="AF36" s="30"/>
      <c r="AG36" s="27">
        <f t="shared" si="1"/>
        <v>0</v>
      </c>
      <c r="AH36" s="69"/>
      <c r="AI36" s="69"/>
      <c r="AJ36" s="30"/>
      <c r="AK36" s="30"/>
      <c r="AL36" s="33"/>
      <c r="AM36" s="30"/>
      <c r="AN36" s="30"/>
      <c r="AO36" s="25"/>
      <c r="AP36" s="20"/>
      <c r="AQ36" s="69"/>
      <c r="AR36" s="30"/>
      <c r="AS36" s="30"/>
      <c r="AT36" s="30"/>
      <c r="AU36" s="30"/>
      <c r="AV36" s="27">
        <f t="shared" si="3"/>
        <v>0</v>
      </c>
      <c r="AW36" s="12"/>
      <c r="AX36" s="12"/>
      <c r="AY36" s="12"/>
      <c r="AZ36" s="12"/>
    </row>
    <row r="37" spans="1:52" ht="12.75">
      <c r="A37" s="28">
        <v>20</v>
      </c>
      <c r="B37" s="29" t="s">
        <v>71</v>
      </c>
      <c r="C37" s="96">
        <v>5000000</v>
      </c>
      <c r="D37" s="69"/>
      <c r="E37" s="30"/>
      <c r="F37" s="30"/>
      <c r="G37" s="33"/>
      <c r="H37" s="30"/>
      <c r="I37" s="30"/>
      <c r="J37" s="25"/>
      <c r="K37" s="20"/>
      <c r="L37" s="69"/>
      <c r="M37" s="30"/>
      <c r="N37" s="30"/>
      <c r="O37" s="30"/>
      <c r="P37" s="30"/>
      <c r="Q37" s="11">
        <f t="shared" si="6"/>
        <v>0</v>
      </c>
      <c r="R37" s="11"/>
      <c r="S37" s="71"/>
      <c r="T37" s="97"/>
      <c r="U37" s="69"/>
      <c r="V37" s="30"/>
      <c r="W37" s="30"/>
      <c r="X37" s="30"/>
      <c r="Y37" s="30"/>
      <c r="Z37" s="25">
        <f aca="true" t="shared" si="10" ref="Z37:Z42">T37+U37+V37+W37+X37+Y37</f>
        <v>0</v>
      </c>
      <c r="AA37" s="30"/>
      <c r="AB37" s="69"/>
      <c r="AC37" s="30"/>
      <c r="AD37" s="30"/>
      <c r="AE37" s="30"/>
      <c r="AF37" s="30"/>
      <c r="AG37" s="27">
        <f t="shared" si="1"/>
        <v>0</v>
      </c>
      <c r="AH37" s="74">
        <v>5800000</v>
      </c>
      <c r="AI37" s="97"/>
      <c r="AJ37" s="69"/>
      <c r="AK37" s="30"/>
      <c r="AL37" s="30"/>
      <c r="AM37" s="30"/>
      <c r="AN37" s="30"/>
      <c r="AO37" s="25">
        <f aca="true" t="shared" si="11" ref="AO37:AO42">AI37+AJ37+AK37+AL37+AM37+AN37</f>
        <v>0</v>
      </c>
      <c r="AP37" s="30"/>
      <c r="AQ37" s="69"/>
      <c r="AR37" s="30"/>
      <c r="AS37" s="30"/>
      <c r="AT37" s="30"/>
      <c r="AU37" s="30"/>
      <c r="AV37" s="27">
        <f t="shared" si="3"/>
        <v>0</v>
      </c>
      <c r="AW37" s="12"/>
      <c r="AX37" s="12"/>
      <c r="AY37" s="12"/>
      <c r="AZ37" s="12"/>
    </row>
    <row r="38" spans="1:52" ht="12.75">
      <c r="A38" s="28"/>
      <c r="B38" s="29" t="s">
        <v>72</v>
      </c>
      <c r="C38" s="68"/>
      <c r="E38" s="69">
        <v>62500</v>
      </c>
      <c r="F38" s="30">
        <v>46200</v>
      </c>
      <c r="G38" s="30"/>
      <c r="H38" s="30">
        <v>47300</v>
      </c>
      <c r="I38" s="30">
        <v>41500</v>
      </c>
      <c r="J38" s="25">
        <f t="shared" si="7"/>
        <v>197500</v>
      </c>
      <c r="K38" s="30"/>
      <c r="L38" s="69">
        <v>72610</v>
      </c>
      <c r="M38" s="30"/>
      <c r="N38" s="30">
        <v>90000</v>
      </c>
      <c r="O38" s="30">
        <v>108000</v>
      </c>
      <c r="P38" s="30">
        <v>16622</v>
      </c>
      <c r="Q38" s="11">
        <f>J38+K38+L38+M38+N38+O38+P38</f>
        <v>484732</v>
      </c>
      <c r="R38" s="70" t="s">
        <v>49</v>
      </c>
      <c r="S38" s="98"/>
      <c r="T38" s="33">
        <v>8400</v>
      </c>
      <c r="U38" s="33"/>
      <c r="V38" s="33"/>
      <c r="W38" s="33"/>
      <c r="X38" s="33">
        <v>7200</v>
      </c>
      <c r="Y38" s="30">
        <v>72200</v>
      </c>
      <c r="Z38" s="25">
        <f t="shared" si="10"/>
        <v>87800</v>
      </c>
      <c r="AA38" s="30"/>
      <c r="AB38" s="30">
        <v>97550</v>
      </c>
      <c r="AC38" s="20"/>
      <c r="AD38" s="99">
        <v>128500</v>
      </c>
      <c r="AE38" s="20"/>
      <c r="AF38" s="20">
        <v>37660</v>
      </c>
      <c r="AG38" s="27">
        <f t="shared" si="1"/>
        <v>351510</v>
      </c>
      <c r="AH38" s="98"/>
      <c r="AI38" s="33"/>
      <c r="AJ38" s="33"/>
      <c r="AK38" s="33"/>
      <c r="AL38" s="33"/>
      <c r="AM38" s="33">
        <v>100000</v>
      </c>
      <c r="AN38" s="30">
        <v>105500</v>
      </c>
      <c r="AO38" s="25">
        <f t="shared" si="11"/>
        <v>205500</v>
      </c>
      <c r="AP38" s="30"/>
      <c r="AQ38" s="30"/>
      <c r="AR38" s="30">
        <v>33440</v>
      </c>
      <c r="AS38" s="99"/>
      <c r="AT38" s="20"/>
      <c r="AU38" s="20"/>
      <c r="AV38" s="27">
        <f t="shared" si="3"/>
        <v>238940</v>
      </c>
      <c r="AW38" s="12"/>
      <c r="AX38" s="12"/>
      <c r="AY38" s="12"/>
      <c r="AZ38" s="12"/>
    </row>
    <row r="39" spans="1:52" ht="12.75">
      <c r="A39" s="22" t="s">
        <v>73</v>
      </c>
      <c r="B39" s="23" t="s">
        <v>74</v>
      </c>
      <c r="C39" s="100">
        <f>SUM(C16:C38)</f>
        <v>163213200</v>
      </c>
      <c r="D39" s="33">
        <f>SUM(D16:D43)</f>
        <v>11008572</v>
      </c>
      <c r="E39" s="33">
        <f>SUM(E16:E43)</f>
        <v>10941196.6</v>
      </c>
      <c r="F39" s="33">
        <f>SUM(F16:F43)</f>
        <v>12450119</v>
      </c>
      <c r="G39" s="33">
        <f>SUM(G16:G43)</f>
        <v>14312144.85</v>
      </c>
      <c r="H39" s="33">
        <f>SUM(H16:H43)</f>
        <v>10264014.92</v>
      </c>
      <c r="I39" s="20">
        <f aca="true" t="shared" si="12" ref="I39:N39">SUM(I16:I38)</f>
        <v>4162153.44</v>
      </c>
      <c r="J39" s="20">
        <f t="shared" si="12"/>
        <v>63138196.24</v>
      </c>
      <c r="K39" s="20">
        <f t="shared" si="12"/>
        <v>12807919</v>
      </c>
      <c r="L39" s="20">
        <f t="shared" si="12"/>
        <v>11624764.620000001</v>
      </c>
      <c r="M39" s="20">
        <f t="shared" si="12"/>
        <v>9449911.81</v>
      </c>
      <c r="N39" s="99">
        <f t="shared" si="12"/>
        <v>8062482.03</v>
      </c>
      <c r="O39" s="20">
        <f>SUM(O16:O38)</f>
        <v>8490566.29</v>
      </c>
      <c r="P39" s="20">
        <f>SUM(P16:P38)</f>
        <v>13773119.84</v>
      </c>
      <c r="Q39" s="11">
        <f t="shared" si="6"/>
        <v>127346959.83000001</v>
      </c>
      <c r="R39" s="11"/>
      <c r="S39" s="11"/>
      <c r="T39" s="20">
        <f aca="true" t="shared" si="13" ref="T39:Y39">SUM(T16:T38)-T24</f>
        <v>11765584.46</v>
      </c>
      <c r="U39" s="20">
        <f t="shared" si="13"/>
        <v>10500812.37</v>
      </c>
      <c r="V39" s="20">
        <f t="shared" si="13"/>
        <v>8277524.559999999</v>
      </c>
      <c r="W39" s="20">
        <f t="shared" si="13"/>
        <v>11393577.36</v>
      </c>
      <c r="X39" s="20">
        <f t="shared" si="13"/>
        <v>11049369.02</v>
      </c>
      <c r="Y39" s="11">
        <f t="shared" si="13"/>
        <v>9119611.65</v>
      </c>
      <c r="Z39" s="20">
        <f>T39+U39+V39+W39+X39+Y39</f>
        <v>62106479.419999994</v>
      </c>
      <c r="AA39" s="20">
        <f>SUM(AA16:AA38)-AA24</f>
        <v>10795152.72</v>
      </c>
      <c r="AB39" s="20">
        <f>SUM(AB16:AB38)</f>
        <v>12451417.45</v>
      </c>
      <c r="AC39" s="20">
        <f>SUM(AC16:AC38)-AC24</f>
        <v>11062994.690000001</v>
      </c>
      <c r="AD39" s="20">
        <f>SUM(AD16:AD38)-AD24</f>
        <v>9529002.280000001</v>
      </c>
      <c r="AE39" s="20">
        <f>SUM(AE16:AE38)-AE24</f>
        <v>10345061</v>
      </c>
      <c r="AF39" s="20">
        <f>SUM(AF16:AF38)-AF24</f>
        <v>12886846.46</v>
      </c>
      <c r="AG39" s="27">
        <f t="shared" si="1"/>
        <v>129176954.02000001</v>
      </c>
      <c r="AH39" s="11">
        <f>SUM(AH16:AH38)</f>
        <v>257135000</v>
      </c>
      <c r="AI39" s="20">
        <f>SUM(AI16:AI38)-AI24</f>
        <v>12565722.09</v>
      </c>
      <c r="AJ39" s="20">
        <f>SUM(AJ16:AJ38)</f>
        <v>2764213</v>
      </c>
      <c r="AK39" s="20">
        <f>SUM(AK16:AK38)-AK24</f>
        <v>11657335.86</v>
      </c>
      <c r="AL39" s="20">
        <f>SUM(AL16:AL38)-AL24</f>
        <v>12892865.17</v>
      </c>
      <c r="AM39" s="20">
        <f>SUM(AM16:AM38)-AM24</f>
        <v>16949577.67</v>
      </c>
      <c r="AN39" s="11">
        <f>SUM(AN16:AN38)-AN24</f>
        <v>20259823.96</v>
      </c>
      <c r="AO39" s="20">
        <f t="shared" si="11"/>
        <v>77089537.75</v>
      </c>
      <c r="AP39" s="20">
        <f>SUM(AP16:AP38)-AP24</f>
        <v>16797976.049999997</v>
      </c>
      <c r="AQ39" s="20">
        <f>SUM(AQ16:AQ38)</f>
        <v>4467658.71</v>
      </c>
      <c r="AR39" s="20">
        <f>SUM(AR16:AR38)-AR24</f>
        <v>12589594.809999999</v>
      </c>
      <c r="AS39" s="20">
        <f>SUM(AS16:AS38)-AS24</f>
        <v>18183010.34</v>
      </c>
      <c r="AT39" s="20"/>
      <c r="AU39" s="20"/>
      <c r="AV39" s="27">
        <f t="shared" si="3"/>
        <v>129127777.66</v>
      </c>
      <c r="AW39" s="12"/>
      <c r="AX39" s="12"/>
      <c r="AY39" s="12"/>
      <c r="AZ39" s="12"/>
    </row>
    <row r="40" spans="1:52" ht="13.5">
      <c r="A40" s="28">
        <v>1</v>
      </c>
      <c r="B40" s="23" t="s">
        <v>75</v>
      </c>
      <c r="C40" s="19">
        <v>16722000</v>
      </c>
      <c r="D40" s="21"/>
      <c r="E40" s="20"/>
      <c r="F40" s="101"/>
      <c r="G40" s="20"/>
      <c r="H40" s="33"/>
      <c r="I40" s="11">
        <f>I41</f>
        <v>288000</v>
      </c>
      <c r="J40" s="20">
        <f t="shared" si="7"/>
        <v>288000</v>
      </c>
      <c r="K40" s="20">
        <f>K42</f>
        <v>14802000</v>
      </c>
      <c r="L40" s="20"/>
      <c r="M40" s="20"/>
      <c r="N40" s="30"/>
      <c r="O40" s="20"/>
      <c r="P40" s="20"/>
      <c r="Q40" s="11">
        <f t="shared" si="6"/>
        <v>15090000</v>
      </c>
      <c r="R40" s="70" t="s">
        <v>49</v>
      </c>
      <c r="S40" s="102"/>
      <c r="T40" s="101"/>
      <c r="U40" s="30"/>
      <c r="V40" s="101"/>
      <c r="W40" s="30"/>
      <c r="X40" s="33"/>
      <c r="Y40" s="33"/>
      <c r="Z40" s="30">
        <f t="shared" si="10"/>
        <v>0</v>
      </c>
      <c r="AA40" s="42"/>
      <c r="AB40" s="30"/>
      <c r="AC40" s="30"/>
      <c r="AD40" s="30"/>
      <c r="AE40" s="30"/>
      <c r="AF40" s="30"/>
      <c r="AG40" s="33">
        <f>Z40+AA40+AB40+AC40+AD40+AE40+AF40</f>
        <v>0</v>
      </c>
      <c r="AH40" s="102"/>
      <c r="AI40" s="20">
        <f>AI41</f>
        <v>9609610</v>
      </c>
      <c r="AJ40" s="30"/>
      <c r="AK40" s="101"/>
      <c r="AL40" s="20">
        <f>AL41</f>
        <v>6923467</v>
      </c>
      <c r="AM40" s="33"/>
      <c r="AN40" s="33"/>
      <c r="AO40" s="30">
        <f t="shared" si="11"/>
        <v>16533077</v>
      </c>
      <c r="AP40" s="42"/>
      <c r="AQ40" s="30"/>
      <c r="AR40" s="20">
        <f>AR41</f>
        <v>3000000</v>
      </c>
      <c r="AS40" s="30"/>
      <c r="AT40" s="30"/>
      <c r="AU40" s="30"/>
      <c r="AV40" s="27">
        <f>AO40+AP40+AQ40+AR40+AS40+AT40+AU40</f>
        <v>19533077</v>
      </c>
      <c r="AW40" s="12"/>
      <c r="AX40" s="12"/>
      <c r="AY40" s="12"/>
      <c r="AZ40" s="12"/>
    </row>
    <row r="41" spans="1:52" ht="12.75">
      <c r="A41" s="28">
        <v>2</v>
      </c>
      <c r="B41" s="29" t="s">
        <v>76</v>
      </c>
      <c r="C41" s="103">
        <v>1920000</v>
      </c>
      <c r="D41" s="101"/>
      <c r="E41" s="30"/>
      <c r="F41" s="101"/>
      <c r="G41" s="30"/>
      <c r="H41" s="33"/>
      <c r="I41" s="33">
        <f>288000</f>
        <v>288000</v>
      </c>
      <c r="J41" s="30">
        <f t="shared" si="7"/>
        <v>288000</v>
      </c>
      <c r="K41" s="42"/>
      <c r="L41" s="30"/>
      <c r="M41" s="30"/>
      <c r="N41" s="30"/>
      <c r="O41" s="30"/>
      <c r="P41" s="30"/>
      <c r="Q41" s="33">
        <f t="shared" si="6"/>
        <v>288000</v>
      </c>
      <c r="R41" s="33"/>
      <c r="S41" s="102"/>
      <c r="T41" s="101"/>
      <c r="U41" s="30"/>
      <c r="V41" s="30"/>
      <c r="W41" s="33"/>
      <c r="X41" s="33"/>
      <c r="Y41" s="33"/>
      <c r="Z41" s="20">
        <f t="shared" si="10"/>
        <v>0</v>
      </c>
      <c r="AA41" s="42"/>
      <c r="AB41" s="30"/>
      <c r="AC41" s="30"/>
      <c r="AD41" s="30"/>
      <c r="AE41" s="30"/>
      <c r="AF41" s="30"/>
      <c r="AG41" s="33">
        <f>Z41+AA41+AB41+AC41+AD41+AE41+AF41</f>
        <v>0</v>
      </c>
      <c r="AH41" s="104">
        <f>120000+17000000</f>
        <v>17120000</v>
      </c>
      <c r="AI41" s="30">
        <v>9609610</v>
      </c>
      <c r="AJ41" s="30"/>
      <c r="AK41" s="30"/>
      <c r="AL41" s="33">
        <v>6923467</v>
      </c>
      <c r="AM41" s="33"/>
      <c r="AN41" s="33"/>
      <c r="AO41" s="20">
        <f t="shared" si="11"/>
        <v>16533077</v>
      </c>
      <c r="AP41" s="42"/>
      <c r="AQ41" s="30"/>
      <c r="AR41" s="30">
        <v>3000000</v>
      </c>
      <c r="AS41" s="30"/>
      <c r="AT41" s="30"/>
      <c r="AU41" s="30"/>
      <c r="AV41" s="37">
        <f>AO41+AP41+AQ41+AR41+AS41+AT41+AU41</f>
        <v>19533077</v>
      </c>
      <c r="AW41" s="12"/>
      <c r="AX41" s="12"/>
      <c r="AY41" s="12"/>
      <c r="AZ41" s="12"/>
    </row>
    <row r="42" spans="1:52" ht="12.75">
      <c r="A42" s="28">
        <v>3</v>
      </c>
      <c r="B42" s="29" t="s">
        <v>77</v>
      </c>
      <c r="C42" s="103">
        <v>14802000</v>
      </c>
      <c r="D42" s="101"/>
      <c r="E42" s="30"/>
      <c r="F42" s="30"/>
      <c r="G42" s="33"/>
      <c r="H42" s="33"/>
      <c r="I42" s="33"/>
      <c r="J42" s="20">
        <f t="shared" si="7"/>
        <v>0</v>
      </c>
      <c r="K42" s="42">
        <v>14802000</v>
      </c>
      <c r="L42" s="30"/>
      <c r="M42" s="30"/>
      <c r="N42" s="30"/>
      <c r="O42" s="30"/>
      <c r="P42" s="30"/>
      <c r="Q42" s="33">
        <f t="shared" si="6"/>
        <v>14802000</v>
      </c>
      <c r="R42" s="33"/>
      <c r="S42" s="104"/>
      <c r="T42" s="101"/>
      <c r="U42" s="30"/>
      <c r="V42" s="30"/>
      <c r="W42" s="33"/>
      <c r="X42" s="33"/>
      <c r="Y42" s="33"/>
      <c r="Z42" s="20">
        <f t="shared" si="10"/>
        <v>0</v>
      </c>
      <c r="AA42" s="42"/>
      <c r="AB42" s="30"/>
      <c r="AC42" s="30"/>
      <c r="AD42" s="30"/>
      <c r="AE42" s="30"/>
      <c r="AF42" s="30"/>
      <c r="AG42" s="33">
        <f>Z42+AA42+AB42+AC42+AD42+AE42+AF42</f>
        <v>0</v>
      </c>
      <c r="AH42" s="104"/>
      <c r="AI42" s="101"/>
      <c r="AJ42" s="30"/>
      <c r="AK42" s="30"/>
      <c r="AL42" s="33"/>
      <c r="AM42" s="33"/>
      <c r="AN42" s="33"/>
      <c r="AO42" s="20">
        <f t="shared" si="11"/>
        <v>0</v>
      </c>
      <c r="AP42" s="42"/>
      <c r="AQ42" s="30"/>
      <c r="AR42" s="30"/>
      <c r="AS42" s="30"/>
      <c r="AT42" s="30"/>
      <c r="AU42" s="30"/>
      <c r="AV42" s="37">
        <f>AO42+AP42+AQ42+AR42+AS42+AT42+AU42</f>
        <v>0</v>
      </c>
      <c r="AW42" s="12"/>
      <c r="AX42" s="12"/>
      <c r="AY42" s="12"/>
      <c r="AZ42" s="12"/>
    </row>
    <row r="43" spans="1:52" ht="12.75">
      <c r="A43" s="22" t="s">
        <v>78</v>
      </c>
      <c r="B43" s="29" t="s">
        <v>79</v>
      </c>
      <c r="C43" s="105"/>
      <c r="D43" s="101"/>
      <c r="E43" s="30"/>
      <c r="F43" s="30"/>
      <c r="G43" s="33"/>
      <c r="H43" s="33"/>
      <c r="I43" s="33"/>
      <c r="J43" s="20">
        <f t="shared" si="7"/>
        <v>0</v>
      </c>
      <c r="K43" s="42"/>
      <c r="L43" s="30"/>
      <c r="M43" s="30"/>
      <c r="N43" s="30"/>
      <c r="O43" s="30"/>
      <c r="P43" s="30"/>
      <c r="Q43" s="33">
        <f t="shared" si="6"/>
        <v>0</v>
      </c>
      <c r="R43" s="33"/>
      <c r="S43" s="106"/>
      <c r="T43" s="101"/>
      <c r="U43" s="30"/>
      <c r="V43" s="30"/>
      <c r="W43" s="33"/>
      <c r="X43" s="33"/>
      <c r="Y43" s="33"/>
      <c r="Z43" s="20"/>
      <c r="AA43" s="30"/>
      <c r="AB43" s="30"/>
      <c r="AC43" s="30"/>
      <c r="AD43" s="30"/>
      <c r="AE43" s="30"/>
      <c r="AF43" s="30"/>
      <c r="AG43" s="33">
        <f>Z43+AA43+AB43+AC43+AD43+AE43+AF43</f>
        <v>0</v>
      </c>
      <c r="AH43" s="106"/>
      <c r="AI43" s="101"/>
      <c r="AJ43" s="30"/>
      <c r="AK43" s="30"/>
      <c r="AL43" s="33"/>
      <c r="AM43" s="33"/>
      <c r="AN43" s="33"/>
      <c r="AO43" s="20"/>
      <c r="AP43" s="30"/>
      <c r="AQ43" s="30"/>
      <c r="AR43" s="30"/>
      <c r="AS43" s="30"/>
      <c r="AT43" s="30"/>
      <c r="AU43" s="30"/>
      <c r="AV43" s="33">
        <f>AO43+AP43+AQ43+AR43+AS43+AT43+AU43</f>
        <v>0</v>
      </c>
      <c r="AW43" s="12"/>
      <c r="AX43" s="12"/>
      <c r="AY43" s="12"/>
      <c r="AZ43" s="12"/>
    </row>
    <row r="44" spans="1:52" ht="12.75">
      <c r="A44" s="12"/>
      <c r="B44" s="107" t="s">
        <v>80</v>
      </c>
      <c r="C44" s="106"/>
      <c r="D44" s="101"/>
      <c r="E44" s="30"/>
      <c r="F44" s="30"/>
      <c r="G44" s="33"/>
      <c r="H44" s="33"/>
      <c r="I44" s="33"/>
      <c r="J44" s="20"/>
      <c r="K44" s="30"/>
      <c r="L44" s="30"/>
      <c r="M44" s="30"/>
      <c r="N44" s="30"/>
      <c r="O44" s="30"/>
      <c r="P44" s="30"/>
      <c r="Q44" s="33">
        <f t="shared" si="6"/>
        <v>0</v>
      </c>
      <c r="R44" s="33"/>
      <c r="S44" s="108"/>
      <c r="T44" s="20">
        <f>S4+T6-T39</f>
        <v>21325867.54</v>
      </c>
      <c r="U44" s="20">
        <f>T44+U6-U39</f>
        <v>24323470.07</v>
      </c>
      <c r="V44" s="20">
        <f>U44+V6-V39</f>
        <v>16702245.510000002</v>
      </c>
      <c r="W44" s="20">
        <f>V44+W6-W39</f>
        <v>6567355.150000002</v>
      </c>
      <c r="X44" s="20">
        <f>W44+X6-X39</f>
        <v>30334237.130000006</v>
      </c>
      <c r="Y44" s="20">
        <f>X44+Y6-Y39</f>
        <v>21521932.480000004</v>
      </c>
      <c r="Z44" s="20">
        <f>S4+Z6-Z39</f>
        <v>21521932.48000001</v>
      </c>
      <c r="AA44" s="20">
        <f>Z44+AA6-AA39</f>
        <v>11099679.760000011</v>
      </c>
      <c r="AB44" s="20">
        <f>AA44+AB6-AB39</f>
        <v>29143835.310000014</v>
      </c>
      <c r="AC44" s="20">
        <f>AB44+AC6-AC39</f>
        <v>20113109.620000012</v>
      </c>
      <c r="AD44" s="20">
        <f>AC44+AD6-AD39</f>
        <v>30988578.34000001</v>
      </c>
      <c r="AE44" s="20">
        <f>AD44+AE6-AE39</f>
        <v>20995517.34000001</v>
      </c>
      <c r="AF44" s="20"/>
      <c r="AG44" s="11">
        <f>S4+AG6-AG39</f>
        <v>30176034.879999995</v>
      </c>
      <c r="AH44" s="108"/>
      <c r="AI44" s="20">
        <f>AH4+AI6-AI39-AI40</f>
        <v>15794307.16</v>
      </c>
      <c r="AJ44" s="20">
        <f>AI44+AJ6-AJ39</f>
        <v>42031209.16</v>
      </c>
      <c r="AK44" s="20">
        <f>AJ44+AK6-AK39</f>
        <v>31379201.299999997</v>
      </c>
      <c r="AL44" s="20">
        <f>AK44+AL6-AL39-AL40</f>
        <v>32030703.129999995</v>
      </c>
      <c r="AM44" s="20">
        <f>AL44+AM6-AM39</f>
        <v>45133322.45999999</v>
      </c>
      <c r="AN44" s="20">
        <f>AM44+AN6-AN39</f>
        <v>39300853.49999999</v>
      </c>
      <c r="AO44" s="20">
        <f>AH4+AO6-AO39-AO40</f>
        <v>39300853.5</v>
      </c>
      <c r="AP44" s="20">
        <f>AO44+AP6-AP39</f>
        <v>23285311.450000003</v>
      </c>
      <c r="AQ44" s="20">
        <f>AP44+AQ6-AQ39</f>
        <v>20229562.740000002</v>
      </c>
      <c r="AR44" s="20">
        <f>AQ44+AR6-AR39-AR40</f>
        <v>14991967.930000003</v>
      </c>
      <c r="AS44" s="20">
        <f>AR44+AS6-AS39</f>
        <v>12209830.590000004</v>
      </c>
      <c r="AT44" s="20"/>
      <c r="AU44" s="20"/>
      <c r="AV44" s="11">
        <f>AH4+AV6-AV39-AV40</f>
        <v>12209830.590000004</v>
      </c>
      <c r="AW44" s="12"/>
      <c r="AX44" s="13">
        <f>AX4+AX33-AX27</f>
        <v>775505.4300000002</v>
      </c>
      <c r="AY44" s="13">
        <f>AY4+AY33-AY27</f>
        <v>1134871.5299999998</v>
      </c>
      <c r="AZ44" s="12"/>
    </row>
    <row r="45" spans="2:45" ht="13.5" thickBot="1">
      <c r="B45" s="109"/>
      <c r="C45" s="110">
        <f>C39+C40</f>
        <v>179935200</v>
      </c>
      <c r="D45" s="62">
        <f>5301722+30176172-11008572</f>
        <v>24469322</v>
      </c>
      <c r="E45" s="62">
        <f>D45+E6-E39</f>
        <v>42835732.4</v>
      </c>
      <c r="F45" s="62">
        <f>E45+F6-F39</f>
        <v>34615710.4</v>
      </c>
      <c r="G45" s="62">
        <f>F45+G6-G39</f>
        <v>26641270.549999997</v>
      </c>
      <c r="H45" s="62">
        <f>G45+H6-H39</f>
        <v>19976772.629999995</v>
      </c>
      <c r="I45" s="62">
        <f>H45+I6-I39-I40</f>
        <v>16931247.189999994</v>
      </c>
      <c r="J45" s="62">
        <f>C5+J6-J39-J40</f>
        <v>16931260.759999998</v>
      </c>
      <c r="K45" s="62">
        <f>J45+K6-K39-K40</f>
        <v>25391341.759999998</v>
      </c>
      <c r="L45" s="62">
        <f>K45+L6-L39-L40</f>
        <v>16687232.139999997</v>
      </c>
      <c r="M45" s="62">
        <f>L45+M6-M39-M40</f>
        <v>19359118.33</v>
      </c>
      <c r="N45" s="62">
        <f>M45+N6-N39</f>
        <v>12591036.299999997</v>
      </c>
      <c r="O45" s="62">
        <f>N45+O6-O39-O40</f>
        <v>4160470.009999998</v>
      </c>
      <c r="P45" s="62">
        <f>O45+P6-P39-P40</f>
        <v>13726901.169999998</v>
      </c>
      <c r="Q45" s="14">
        <f>C5+Q6-Q39-Q40</f>
        <v>13726901.169999987</v>
      </c>
      <c r="R45" s="14"/>
      <c r="AQ45" s="111" t="s">
        <v>81</v>
      </c>
      <c r="AR45" s="112">
        <f>AH4</f>
        <v>30176035.25</v>
      </c>
      <c r="AS45" s="113"/>
    </row>
    <row r="46" spans="10:45" ht="12.75">
      <c r="J46" s="82"/>
      <c r="Y46" s="114" t="s">
        <v>82</v>
      </c>
      <c r="Z46" s="82">
        <f>Z8+Z10+Z12+Z13+Z14</f>
        <v>69901515.9</v>
      </c>
      <c r="AN46" s="115" t="s">
        <v>83</v>
      </c>
      <c r="AO46" s="116">
        <f>AO8+AO10+AO12+AO13+AO14</f>
        <v>102747433</v>
      </c>
      <c r="AQ46" s="111" t="s">
        <v>83</v>
      </c>
      <c r="AR46" s="112">
        <f>AV8+AV9+AV10+AV11+AV12+AV13+AV14</f>
        <v>130694650</v>
      </c>
      <c r="AS46" s="117"/>
    </row>
    <row r="47" spans="40:46" ht="12.75">
      <c r="AN47" s="111" t="s">
        <v>84</v>
      </c>
      <c r="AO47" s="112">
        <f>AO16+AO17+AO18+AO19+AO20+AO21+AO22+AO23+AO25+AO26+AO27+AO28+AO30+AO33+AO38+AO40</f>
        <v>93622614.75</v>
      </c>
      <c r="AQ47" s="111" t="s">
        <v>84</v>
      </c>
      <c r="AR47" s="118">
        <f>AV16+AV17+AV18+AV19+AV20+AV21+AV22+AV23+AV25+AV26+AV27+AV28+AV30+AV33+AV38</f>
        <v>129127777.66</v>
      </c>
      <c r="AS47" s="119"/>
      <c r="AT47" s="120"/>
    </row>
    <row r="48" spans="33:48" ht="13.5" thickBot="1">
      <c r="AG48" t="s">
        <v>85</v>
      </c>
      <c r="AN48" s="121" t="s">
        <v>86</v>
      </c>
      <c r="AO48" s="122">
        <f>AH4+AO46-AO47</f>
        <v>39300853.5</v>
      </c>
      <c r="AQ48" s="111" t="s">
        <v>87</v>
      </c>
      <c r="AR48" s="112">
        <f>AV41</f>
        <v>19533077</v>
      </c>
      <c r="AS48" s="39"/>
      <c r="AV48" s="123"/>
    </row>
    <row r="49" spans="41:46" ht="13.5" thickBot="1">
      <c r="AO49" t="s">
        <v>88</v>
      </c>
      <c r="AQ49" s="124" t="s">
        <v>86</v>
      </c>
      <c r="AR49" s="125">
        <f>AR45+AR46-AR47-AR48</f>
        <v>12209830.590000004</v>
      </c>
      <c r="AS49" s="39" t="s">
        <v>89</v>
      </c>
      <c r="AT49" s="39"/>
    </row>
  </sheetData>
  <sheetProtection/>
  <mergeCells count="20">
    <mergeCell ref="AH1:AV1"/>
    <mergeCell ref="AW1:AW3"/>
    <mergeCell ref="AX1:AX3"/>
    <mergeCell ref="AY1:AY3"/>
    <mergeCell ref="AZ1:AZ3"/>
    <mergeCell ref="AH2:AN2"/>
    <mergeCell ref="AO2:AO3"/>
    <mergeCell ref="AP2:AU2"/>
    <mergeCell ref="AV2:AV3"/>
    <mergeCell ref="A3:A4"/>
    <mergeCell ref="B3:B4"/>
    <mergeCell ref="J3:J4"/>
    <mergeCell ref="K3:P3"/>
    <mergeCell ref="Q3:Q4"/>
    <mergeCell ref="R3:R4"/>
    <mergeCell ref="C2:Q2"/>
    <mergeCell ref="S2:Y2"/>
    <mergeCell ref="Z2:Z3"/>
    <mergeCell ref="AA2:AF2"/>
    <mergeCell ref="AG2:AG3"/>
  </mergeCells>
  <printOptions/>
  <pageMargins left="0" right="0" top="0" bottom="0" header="0.55" footer="0"/>
  <pageSetup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Julinda Carka</dc:creator>
  <cp:keywords/>
  <dc:description/>
  <cp:lastModifiedBy>Julinda Carka</cp:lastModifiedBy>
  <dcterms:created xsi:type="dcterms:W3CDTF">2019-11-12T07:47:07Z</dcterms:created>
  <dcterms:modified xsi:type="dcterms:W3CDTF">2019-11-12T08:00:49Z</dcterms:modified>
  <cp:category/>
  <cp:version/>
  <cp:contentType/>
  <cp:contentStatus/>
</cp:coreProperties>
</file>