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6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933" activeTab="0"/>
  </bookViews>
  <sheets>
    <sheet name="BALANCE  8-M 2017" sheetId="1" r:id="rId1"/>
    <sheet name="OST" sheetId="2" r:id="rId2"/>
    <sheet name="Diagram" sheetId="3" r:id="rId3"/>
    <sheet name="OST 2017" sheetId="4" r:id="rId4"/>
    <sheet name="KESH 8-M 2017" sheetId="5" r:id="rId5"/>
    <sheet name="OSHEE 8-M 2017" sheetId="6" r:id="rId6"/>
    <sheet name="Production 2017" sheetId="7" r:id="rId7"/>
    <sheet name="Fierza Level " sheetId="8" r:id="rId8"/>
    <sheet name="Losses Graph 2017" sheetId="9" r:id="rId9"/>
    <sheet name="Debt Status Table " sheetId="10" r:id="rId10"/>
    <sheet name="OSHEE's Debtors" sheetId="11" r:id="rId11"/>
    <sheet name="Effectiveness 2017" sheetId="12" r:id="rId12"/>
    <sheet name="Total Energy to DSO" sheetId="13" r:id="rId13"/>
    <sheet name="Publication 2017" sheetId="14" r:id="rId14"/>
    <sheet name="Anex 3 HV Customer" sheetId="15" r:id="rId15"/>
    <sheet name="Dev.Prog.Int." sheetId="16" r:id="rId16"/>
    <sheet name="Capacities Allocation 2017" sheetId="17" r:id="rId17"/>
    <sheet name="Inbalances 2017" sheetId="18" r:id="rId18"/>
    <sheet name="Market Participants 2017" sheetId="19" r:id="rId19"/>
    <sheet name="Energy Market Transactions" sheetId="20" r:id="rId20"/>
  </sheets>
  <externalReferences>
    <externalReference r:id="rId23"/>
    <externalReference r:id="rId24"/>
    <externalReference r:id="rId25"/>
  </externalReferences>
  <definedNames>
    <definedName name="OLE_LINK1" localSheetId="2">'Diagram'!$A$2</definedName>
    <definedName name="_xlnm.Print_Area" localSheetId="14">'Anex 3 HV Customer'!$A$1:$O$42</definedName>
    <definedName name="_xlnm.Print_Area" localSheetId="0">'BALANCE  8-M 2017'!$A$1:$M$34</definedName>
    <definedName name="_xlnm.Print_Area" localSheetId="16">'Capacities Allocation 2017'!$A$1:$U$28</definedName>
    <definedName name="_xlnm.Print_Area" localSheetId="9">'Debt Status Table '!$A$1:$J$74</definedName>
    <definedName name="_xlnm.Print_Area" localSheetId="15">'Dev.Prog.Int.'!$A$1:$N$54</definedName>
    <definedName name="_xlnm.Print_Area" localSheetId="11">'Effectiveness 2017'!$A$1:$O$77</definedName>
    <definedName name="_xlnm.Print_Area" localSheetId="19">'Energy Market Transactions'!$A$1:$Q$178</definedName>
    <definedName name="_xlnm.Print_Area" localSheetId="7">'Fierza Level '!$A$1:$N$81</definedName>
    <definedName name="_xlnm.Print_Area" localSheetId="17">'Inbalances 2017'!$A$1:$AG$62</definedName>
    <definedName name="_xlnm.Print_Area" localSheetId="4">'KESH 8-M 2017'!$A$1:$L$53</definedName>
    <definedName name="_xlnm.Print_Area" localSheetId="8">'Losses Graph 2017'!$A$1:$DF$89</definedName>
    <definedName name="_xlnm.Print_Area" localSheetId="18">'Market Participants 2017'!$A$1:$F$66</definedName>
    <definedName name="_xlnm.Print_Area" localSheetId="5">'OSHEE 8-M 2017'!$A$1:$M$55</definedName>
    <definedName name="_xlnm.Print_Area" localSheetId="10">'OSHEE''s Debtors'!$A$1:$R$44</definedName>
    <definedName name="_xlnm.Print_Area" localSheetId="3">'OST 2017'!$A$1:$K$40</definedName>
    <definedName name="_xlnm.Print_Area" localSheetId="12">'Total Energy to DSO'!$A$1:$N$32</definedName>
  </definedNames>
  <calcPr fullCalcOnLoad="1"/>
</workbook>
</file>

<file path=xl/comments4.xml><?xml version="1.0" encoding="utf-8"?>
<comments xmlns="http://schemas.openxmlformats.org/spreadsheetml/2006/main">
  <authors>
    <author>Author</author>
  </authors>
  <commentList>
    <comment ref="A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HEC-et lokale</t>
        </r>
      </text>
    </comment>
    <comment ref="A10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Edhe Ulez 6kV</t>
        </r>
      </text>
    </comment>
    <comment ref="A27" authorId="0">
      <text>
        <r>
          <rPr>
            <b/>
            <sz val="9"/>
            <rFont val="Tahoma"/>
            <family val="2"/>
          </rPr>
          <t xml:space="preserve">Blerta Mara:DEVOLLIHPP-T1
</t>
        </r>
      </text>
    </comment>
    <comment ref="A3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Konsumi i HEC Ulez</t>
        </r>
      </text>
    </comment>
  </commentList>
</comments>
</file>

<file path=xl/sharedStrings.xml><?xml version="1.0" encoding="utf-8"?>
<sst xmlns="http://schemas.openxmlformats.org/spreadsheetml/2006/main" count="1974" uniqueCount="899">
  <si>
    <t>pa hedhur</t>
  </si>
  <si>
    <t>6=5+7</t>
  </si>
  <si>
    <t>9=(2-5)</t>
  </si>
  <si>
    <t>10=(2-5-7-a)</t>
  </si>
  <si>
    <t>a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</si>
  <si>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</si>
  <si>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</si>
  <si>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</si>
  <si>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</si>
  <si>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</si>
  <si>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</si>
  <si>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</si>
  <si>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</si>
  <si>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</si>
  <si>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</si>
  <si>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</si>
  <si>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</si>
  <si>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Total</t>
  </si>
  <si>
    <t xml:space="preserve">Prill </t>
  </si>
  <si>
    <t>A</t>
  </si>
  <si>
    <t>A=A.1+A.2</t>
  </si>
  <si>
    <t>A.1</t>
  </si>
  <si>
    <t>A.1=Sum(A.1.1:A.1.5)</t>
  </si>
  <si>
    <t>A.1.1</t>
  </si>
  <si>
    <t>A.1.2</t>
  </si>
  <si>
    <t>A.1.3</t>
  </si>
  <si>
    <t>A.1.4</t>
  </si>
  <si>
    <t>n/a</t>
  </si>
  <si>
    <t>A.1.5</t>
  </si>
  <si>
    <t>A.2</t>
  </si>
  <si>
    <t>A.2 = A.2.1 + A.2.2</t>
  </si>
  <si>
    <t>A.2.1</t>
  </si>
  <si>
    <t>A.2.2</t>
  </si>
  <si>
    <t>B</t>
  </si>
  <si>
    <t>B=A-A.1.3</t>
  </si>
  <si>
    <t>C</t>
  </si>
  <si>
    <t>C=C.1+C.2+C.3</t>
  </si>
  <si>
    <t>C.1</t>
  </si>
  <si>
    <t>C.2</t>
  </si>
  <si>
    <t>C.3</t>
  </si>
  <si>
    <t>C.1= C/B</t>
  </si>
  <si>
    <t>C.1.1</t>
  </si>
  <si>
    <t>C.2.1</t>
  </si>
  <si>
    <t>C.3.1</t>
  </si>
  <si>
    <t>D</t>
  </si>
  <si>
    <t>D=D1+D2+D3+D4</t>
  </si>
  <si>
    <t>D.1</t>
  </si>
  <si>
    <t>D.1= D.1.1+D.1.2+D.1.3</t>
  </si>
  <si>
    <t>D.1.1</t>
  </si>
  <si>
    <t>D.1.2</t>
  </si>
  <si>
    <t>D.1.3</t>
  </si>
  <si>
    <t>D.2</t>
  </si>
  <si>
    <t>D.3</t>
  </si>
  <si>
    <t>D.4</t>
  </si>
  <si>
    <t>D.4=D.4.1+D.4.2+D.4.3</t>
  </si>
  <si>
    <t>D.4.2</t>
  </si>
  <si>
    <t>D.4.3</t>
  </si>
  <si>
    <t>E</t>
  </si>
  <si>
    <t>F</t>
  </si>
  <si>
    <t>G=F.1+F.2+F.3+F.4</t>
  </si>
  <si>
    <t>F.1</t>
  </si>
  <si>
    <t>F.3</t>
  </si>
  <si>
    <t>F.4</t>
  </si>
  <si>
    <t>F.1=F/E</t>
  </si>
  <si>
    <t>F.1.1</t>
  </si>
  <si>
    <t>F.1.1=F.1/E</t>
  </si>
  <si>
    <t>F.1.3</t>
  </si>
  <si>
    <t>F.1.3=F.3/E</t>
  </si>
  <si>
    <t>F.1.4</t>
  </si>
  <si>
    <t>F.1.4=F.4/E</t>
  </si>
  <si>
    <t>G</t>
  </si>
  <si>
    <t>31.05.2009</t>
  </si>
  <si>
    <t>31.12.2009</t>
  </si>
  <si>
    <t>31.05.2010</t>
  </si>
  <si>
    <t>31.12.2010</t>
  </si>
  <si>
    <t>31.05.2011</t>
  </si>
  <si>
    <t>31.12.2011</t>
  </si>
  <si>
    <t>31.05.2012</t>
  </si>
  <si>
    <t>31.12.2012</t>
  </si>
  <si>
    <t>31.05.2013</t>
  </si>
  <si>
    <t>31.12.2013</t>
  </si>
  <si>
    <t>31.05.2014</t>
  </si>
  <si>
    <t>31.12.2014</t>
  </si>
  <si>
    <t>31.05.2015</t>
  </si>
  <si>
    <t xml:space="preserve"> “KESH” sha</t>
  </si>
  <si>
    <t xml:space="preserve"> “Kurum International” sh.a.</t>
  </si>
  <si>
    <t>"UKKO"sha (Ujsjell.Kanal.Korce)</t>
  </si>
  <si>
    <t>"Ayen As Energji"sha</t>
  </si>
  <si>
    <t>MWh</t>
  </si>
  <si>
    <t>Jan</t>
  </si>
  <si>
    <t>Feb</t>
  </si>
  <si>
    <t>Mar</t>
  </si>
  <si>
    <t>Apr</t>
  </si>
  <si>
    <t>May</t>
  </si>
  <si>
    <t>Jun</t>
  </si>
  <si>
    <t>Jul</t>
  </si>
  <si>
    <t>Aug</t>
  </si>
  <si>
    <t>OST sha</t>
  </si>
  <si>
    <t>Delivered by KESH-Gen to Transmission</t>
  </si>
  <si>
    <t>Delivered by Small HPP to Transmission</t>
  </si>
  <si>
    <t>Delivered by Large IPP to Transmission</t>
  </si>
  <si>
    <t>Delivered by HEC Ashta</t>
  </si>
  <si>
    <t>Delivered by HEC Peshqesh</t>
  </si>
  <si>
    <t>Delivered (-) to Interconnection</t>
  </si>
  <si>
    <t>Received (+) by Interconnection</t>
  </si>
  <si>
    <t>R</t>
  </si>
  <si>
    <t>Balance (Total Interconnection)</t>
  </si>
  <si>
    <t>6=(R-D)</t>
  </si>
  <si>
    <t>Total Received by Transmission</t>
  </si>
  <si>
    <t>Transmission Losses (incl own consumption)</t>
  </si>
  <si>
    <t>Transmission Losses %</t>
  </si>
  <si>
    <t>9=8/7</t>
  </si>
  <si>
    <t>Total Delivered by Transmission</t>
  </si>
  <si>
    <t>10=(7-8)</t>
  </si>
  <si>
    <t>Delivered to Interconnections</t>
  </si>
  <si>
    <t>11=D</t>
  </si>
  <si>
    <t xml:space="preserve">Delivered to HV Consumers </t>
  </si>
  <si>
    <t>N/ST 220/6,3 Colacem</t>
  </si>
  <si>
    <t>Delivered to Distribution Network</t>
  </si>
  <si>
    <t>Delivered to Distribution Network 110 kV</t>
  </si>
  <si>
    <t>Delivered to Distribution Network 35 kV</t>
  </si>
  <si>
    <t>Delivered to Distribution Network MV</t>
  </si>
  <si>
    <t>110 kV</t>
  </si>
  <si>
    <t>31.12.2015</t>
  </si>
  <si>
    <t>Shqiperi - Kosove</t>
  </si>
  <si>
    <t>Export</t>
  </si>
  <si>
    <t>Import</t>
  </si>
  <si>
    <t>[ MW ]</t>
  </si>
  <si>
    <t>[ Euro/MWh ]</t>
  </si>
  <si>
    <t>P</t>
  </si>
  <si>
    <t>T</t>
  </si>
  <si>
    <t>A&amp;A Group</t>
  </si>
  <si>
    <t>Albanian Energy Supplier</t>
  </si>
  <si>
    <t>AXPO Albania</t>
  </si>
  <si>
    <t>Ayen AS Energji</t>
  </si>
  <si>
    <t>Ayen Energy Trading</t>
  </si>
  <si>
    <t>Danske Commodities Albania</t>
  </si>
  <si>
    <t>Devoll Hydropower</t>
  </si>
  <si>
    <t>EFT Albania</t>
  </si>
  <si>
    <t>EMIKEL</t>
  </si>
  <si>
    <t>Energija doo Veternik</t>
  </si>
  <si>
    <t>Energji Ashta</t>
  </si>
  <si>
    <t>Energy Supply-AL</t>
  </si>
  <si>
    <t>Erdat Lura</t>
  </si>
  <si>
    <t>GEN-I Tirana</t>
  </si>
  <si>
    <t>Gjo-Spa Power</t>
  </si>
  <si>
    <t>Green Energy Trading Albania</t>
  </si>
  <si>
    <t>Grupi Sistemeve Automatike</t>
  </si>
  <si>
    <t>Korporata Elektroenergjitike Shqiptare</t>
  </si>
  <si>
    <t>KURUM International</t>
  </si>
  <si>
    <t>NOA Energy Trade</t>
  </si>
  <si>
    <t>WENERG</t>
  </si>
  <si>
    <t>OSHEE</t>
  </si>
  <si>
    <t>KURUM INTERNATIONAL</t>
  </si>
  <si>
    <t>7=(1+2+3+4+5+R)</t>
  </si>
  <si>
    <t>EL Kurum</t>
  </si>
  <si>
    <t>Fushe Arrez</t>
  </si>
  <si>
    <t>Titan</t>
  </si>
  <si>
    <t>F.Kruje  220</t>
  </si>
  <si>
    <t>ACR</t>
  </si>
  <si>
    <t>Hec Peshqesh</t>
  </si>
  <si>
    <t>Hec Ashta</t>
  </si>
  <si>
    <t>Tec Ballsh T1</t>
  </si>
  <si>
    <t>Ferro Krom</t>
  </si>
  <si>
    <t>Progresive</t>
  </si>
  <si>
    <t>Technical Losses in HV Sub/St.</t>
  </si>
  <si>
    <t>Technical Losses in DSO zones</t>
  </si>
  <si>
    <t>Total Technical Losses</t>
  </si>
  <si>
    <t>Total Non Technical Losses</t>
  </si>
  <si>
    <t>TOTAL LOSSES</t>
  </si>
  <si>
    <t>TOTAL ENERGY IN DSO GRID</t>
  </si>
  <si>
    <t>Energjia e faturuar MWh</t>
  </si>
  <si>
    <t>ANTEA CEMENT</t>
  </si>
  <si>
    <t>FERROKROM BURREL</t>
  </si>
  <si>
    <t>FUSHE KRUJE CEMENT FACTORY</t>
  </si>
  <si>
    <t>COLACEM ALBANIA</t>
  </si>
  <si>
    <t>BERALB</t>
  </si>
  <si>
    <t>Nga</t>
  </si>
  <si>
    <t>GSA</t>
  </si>
  <si>
    <t>KESH Shpk</t>
  </si>
  <si>
    <t>GEN - I</t>
  </si>
  <si>
    <t>EFT</t>
  </si>
  <si>
    <t>KURUM-KONS.</t>
  </si>
  <si>
    <t>KURUM-IPP</t>
  </si>
  <si>
    <t>KURUM-IPPnev</t>
  </si>
  <si>
    <t>ASHTA</t>
  </si>
  <si>
    <t>AYEN</t>
  </si>
  <si>
    <t>AYEN-nev</t>
  </si>
  <si>
    <t>Per</t>
  </si>
  <si>
    <t>KURUM-KONS</t>
  </si>
  <si>
    <t>KURUM</t>
  </si>
  <si>
    <t xml:space="preserve"> </t>
  </si>
  <si>
    <t>YLLIAD</t>
  </si>
  <si>
    <t>29XYLLIAD-AL---W</t>
  </si>
  <si>
    <t>Future Energy AL</t>
  </si>
  <si>
    <t>a+b</t>
  </si>
  <si>
    <t>OSHEE - I</t>
  </si>
  <si>
    <t>54X-HECASHTA-059</t>
  </si>
  <si>
    <t>54X-AEG-02-1603G</t>
  </si>
  <si>
    <t>23X--150330-AA-K</t>
  </si>
  <si>
    <t>UKKO</t>
  </si>
  <si>
    <t>LOSSES 2009-2016</t>
  </si>
  <si>
    <t>Delivered by HEC Banje</t>
  </si>
  <si>
    <t>N/ST 220kV Moglice</t>
  </si>
  <si>
    <t>Hec BANJE</t>
  </si>
  <si>
    <t>31.12.2016</t>
  </si>
  <si>
    <t>"Strelca Energy" shpk</t>
  </si>
  <si>
    <t>"Gama Energy" shpk</t>
  </si>
  <si>
    <t>"Ballenja Power Martanesh" shpk</t>
  </si>
  <si>
    <t>MW</t>
  </si>
  <si>
    <t>220 kV</t>
  </si>
  <si>
    <t>"Energji Ashta" shpk</t>
  </si>
  <si>
    <t xml:space="preserve">"Devoll Hydropower" sha </t>
  </si>
  <si>
    <t>“Wenerg “ shpk</t>
  </si>
  <si>
    <t>”TRUEN” shpk</t>
  </si>
  <si>
    <t>”DITEKO” shpk</t>
  </si>
  <si>
    <t>“Power Elektrik Slabinje” shpk</t>
  </si>
  <si>
    <t>"Euron Energy" shpk</t>
  </si>
  <si>
    <t>"Alb-Energy" shpk</t>
  </si>
  <si>
    <t>"Energal" shpk</t>
  </si>
  <si>
    <t>”Energy partners Al” shpk</t>
  </si>
  <si>
    <t>“C &amp; S Energy” shpk</t>
  </si>
  <si>
    <t>“C &amp; S Construction Energy” shpk</t>
  </si>
  <si>
    <t>”Gjo.Spa.POWER”shpk</t>
  </si>
  <si>
    <t>"Lengarica &amp; Energy" shpk</t>
  </si>
  <si>
    <t>”Erdat Lura” shpk</t>
  </si>
  <si>
    <t>"Gjure Rec" shpk</t>
  </si>
  <si>
    <t>"Prelle Energji"</t>
  </si>
  <si>
    <t>“EMIKEL 2003” sh.p.k</t>
  </si>
  <si>
    <t>10kV</t>
  </si>
  <si>
    <t>“Albania Green Energy” sh.p.k</t>
  </si>
  <si>
    <t>35 kV</t>
  </si>
  <si>
    <t>"Balkan Green Energy" shpk</t>
  </si>
  <si>
    <t>6kV</t>
  </si>
  <si>
    <t>20kV</t>
  </si>
  <si>
    <t>10/6kv</t>
  </si>
  <si>
    <t>“Spahiu Gjanç” sh.p.k.</t>
  </si>
  <si>
    <t>“Wonder power” sha</t>
  </si>
  <si>
    <t>“Amal” sh.p.k</t>
  </si>
  <si>
    <t>“Hidroinvest 1” shpk</t>
  </si>
  <si>
    <t>35kV</t>
  </si>
  <si>
    <t>“Malido-Energji” shpk</t>
  </si>
  <si>
    <t>“HIDROALBANIA Energji” shpk</t>
  </si>
  <si>
    <t>“HydroEnergy “shpk</t>
  </si>
  <si>
    <t>“Dishnica Energy” shpk</t>
  </si>
  <si>
    <t>“Elektro Lubonje” shpk</t>
  </si>
  <si>
    <t>“Koka &amp; Ergi Energy Peshk” shpk</t>
  </si>
  <si>
    <t>”Ansara Koncension” shpk</t>
  </si>
  <si>
    <t>”Energy Plus” shpk</t>
  </si>
  <si>
    <t>”Korkis 2009” shpk</t>
  </si>
  <si>
    <t xml:space="preserve">”HP OSTROVICA” shpk </t>
  </si>
  <si>
    <t>”Erald Energjitik” shpk</t>
  </si>
  <si>
    <t>”Bekim Energjitik” shpk</t>
  </si>
  <si>
    <t xml:space="preserve">”Selishte” shpk </t>
  </si>
  <si>
    <t>”ERMA MP” shpk</t>
  </si>
  <si>
    <t>”Dosku Energy” shpk</t>
  </si>
  <si>
    <t>”Snow Energy” shpk</t>
  </si>
  <si>
    <t>”Stravaj Energji” shpk</t>
  </si>
  <si>
    <t>”Peshku Picar 1” shpk</t>
  </si>
  <si>
    <t>”Hydro Salillari Energy ”shpk</t>
  </si>
  <si>
    <t>35kv</t>
  </si>
  <si>
    <t>”Albanian Power” shpk</t>
  </si>
  <si>
    <t>”Hydro power Plant Of Korca” shpk</t>
  </si>
  <si>
    <t>”Hidro Borshi” shpk</t>
  </si>
  <si>
    <t>”Lu &amp; Co Eco Energy” shpk</t>
  </si>
  <si>
    <t>”E.T.H.H. ”shpk</t>
  </si>
  <si>
    <t>”Caushi Energji” shpk</t>
  </si>
  <si>
    <t>”SA.GLE.Kompani ”shpk</t>
  </si>
  <si>
    <t>"Energji Xhaci" shpk</t>
  </si>
  <si>
    <t>”Tucep” shpk</t>
  </si>
  <si>
    <t>”Hidro Energy Sotire”shpk</t>
  </si>
  <si>
    <t>”Shutina energji”shpk</t>
  </si>
  <si>
    <t>”Zall Herr Energji 2011”shpk</t>
  </si>
  <si>
    <t>”Bardhgjana” shpk</t>
  </si>
  <si>
    <t>6kv</t>
  </si>
  <si>
    <t>”Gjoka Konstruksion Energji” shpk</t>
  </si>
  <si>
    <t>“Sarolli” sh.p.k</t>
  </si>
  <si>
    <t>Star NRG sh.p.k</t>
  </si>
  <si>
    <t>“EN-KU”  sh.p.k</t>
  </si>
  <si>
    <t>“Maksi Elektrik” sh.p.k</t>
  </si>
  <si>
    <t>“Juana” sh.p.k</t>
  </si>
  <si>
    <t>“WTS Energji” shpk</t>
  </si>
  <si>
    <t>“Marjakaj” shpk</t>
  </si>
  <si>
    <t>“Favina 1” shpk</t>
  </si>
  <si>
    <t>35/10kV</t>
  </si>
  <si>
    <t>“Selca Energji” shpk</t>
  </si>
  <si>
    <t>”DN &amp; NAT Energy”shpk</t>
  </si>
  <si>
    <t>“Energo – Sas” shpk</t>
  </si>
  <si>
    <t>"MTC Energy" shpk</t>
  </si>
  <si>
    <t>"Gurshpat Energy" shpk</t>
  </si>
  <si>
    <t>"Bistrica 3 Energy" shpk</t>
  </si>
  <si>
    <t>"Komp Energji" shpk</t>
  </si>
  <si>
    <t>"Fatlum" shpk</t>
  </si>
  <si>
    <t>"Koxherri Energji" shpk</t>
  </si>
  <si>
    <t>10kv</t>
  </si>
  <si>
    <t>"Kisi-Bio-Energji" shpk</t>
  </si>
  <si>
    <t>"Mesopotam Energy" shpk</t>
  </si>
  <si>
    <t>"HP Ujaniku Energy" shpk</t>
  </si>
  <si>
    <t>"Nishova Energy" shpk</t>
  </si>
  <si>
    <t>"Perparimi SK" shpk</t>
  </si>
  <si>
    <t>"Gavran Energy" shpk</t>
  </si>
  <si>
    <t>Central Fotovoltaik  1 MW (pa sistemuarne sistem)</t>
  </si>
  <si>
    <t>23X--150311-A-A2</t>
  </si>
  <si>
    <t>23X--150416-A—N</t>
  </si>
  <si>
    <t>23X--140426-AY-W</t>
  </si>
  <si>
    <t>23X--121120DCALG</t>
  </si>
  <si>
    <t>23X--150409-DHP5</t>
  </si>
  <si>
    <t>23X--150302-EAL6</t>
  </si>
  <si>
    <t>54X-E-SHPK-16044</t>
  </si>
  <si>
    <t>54X-EDOOV-15-020</t>
  </si>
  <si>
    <t>34X-0000000017-C</t>
  </si>
  <si>
    <t>54X-HEC-LURA-069</t>
  </si>
  <si>
    <t>23X--150301-FE-3</t>
  </si>
  <si>
    <t>23X---120709GEN0</t>
  </si>
  <si>
    <t>54X-HEC-LAPAJ075</t>
  </si>
  <si>
    <t>23X--150702GE--3</t>
  </si>
  <si>
    <t>22XGSA---------N</t>
  </si>
  <si>
    <t>23X--130918APC-M</t>
  </si>
  <si>
    <t>23X--131115KI--1</t>
  </si>
  <si>
    <t>23X--150630-NE-6</t>
  </si>
  <si>
    <t>Operatori Shperndarjes Energjise Elektrike</t>
  </si>
  <si>
    <t>23X--130503--CS-2</t>
  </si>
  <si>
    <t>Stravaj Energy</t>
  </si>
  <si>
    <t>54X-STRAVAJ-E086</t>
  </si>
  <si>
    <t>P; T</t>
  </si>
  <si>
    <t>-</t>
  </si>
  <si>
    <t>DEVOLL</t>
  </si>
  <si>
    <t>DEVOLL-nev</t>
  </si>
  <si>
    <t xml:space="preserve">DIS NEGATIVE </t>
  </si>
  <si>
    <t xml:space="preserve">DIS POZITIVE </t>
  </si>
  <si>
    <t>NR</t>
  </si>
  <si>
    <t xml:space="preserve">ALBANIAN CHROME (ACR) </t>
  </si>
  <si>
    <t xml:space="preserve">FERRO CHROME (FECR) </t>
  </si>
  <si>
    <t>IRTC</t>
  </si>
  <si>
    <t>[ h ]</t>
  </si>
  <si>
    <t>01.01.2017 - 01.10.2017</t>
  </si>
  <si>
    <t>02.10.2017 - 16.10.2017</t>
  </si>
  <si>
    <t>17.10.2017 - 31.12.2017</t>
  </si>
  <si>
    <t>01.01.2-17 - 31.01.2017</t>
  </si>
  <si>
    <t>01.02.2017 - 28.02.2017</t>
  </si>
  <si>
    <t>01.03.2017 - 14.03.2017</t>
  </si>
  <si>
    <t>15.03.2017 - 17.03.2017</t>
  </si>
  <si>
    <t>18.03.2017 - 31.03.2017</t>
  </si>
  <si>
    <t>01.04.2017 - 16.04.2016</t>
  </si>
  <si>
    <t>17.04.2017 - 19.04.2017</t>
  </si>
  <si>
    <t>20.04.2017 - 23.04.2017</t>
  </si>
  <si>
    <t>27.04.2017 - 30.04.2017</t>
  </si>
  <si>
    <t>VITI 2017</t>
  </si>
  <si>
    <t>GRID ENERGY</t>
  </si>
  <si>
    <t>Total  2017</t>
  </si>
  <si>
    <t>FECR</t>
  </si>
  <si>
    <t>Gjenerim KURUM</t>
  </si>
  <si>
    <t>Energy Market Albania</t>
  </si>
  <si>
    <t>54X-ENMARKETAL99</t>
  </si>
  <si>
    <t>Grid Energy</t>
  </si>
  <si>
    <t>54X-GRID-ENERGYR</t>
  </si>
  <si>
    <t>54X-GAEA11-1501R</t>
  </si>
  <si>
    <t>ENERGJI ASHTA ( ASHTA 1)Konsum</t>
  </si>
  <si>
    <t>ENERGJI ASHTA ( ASHTA 2)Konsum</t>
  </si>
  <si>
    <t>ENERGJI ULEZ ( ULEZ )Konsum</t>
  </si>
  <si>
    <t>ENERGJI SHKOPET ( SHKOPET )Konsum</t>
  </si>
  <si>
    <t>ENERGJI BISTRICE ( BISTRICE )Konsum</t>
  </si>
  <si>
    <t>ENERGJI PESHQESH ( AYEN ) Konsum</t>
  </si>
  <si>
    <t>ENERGJI BANJA ( DEVOLL HPP)  Konsum</t>
  </si>
  <si>
    <t>TOTALI                   MWh</t>
  </si>
  <si>
    <t>AYEN ENERGY Trading/HEC</t>
  </si>
  <si>
    <t>Energji Ashta sh.p.k</t>
  </si>
  <si>
    <t>GRID ENERGY sh.p.k</t>
  </si>
  <si>
    <t>DEVOLL/Konsum</t>
  </si>
  <si>
    <t>DEVOLL/HEC</t>
  </si>
  <si>
    <t>KURUM/konsum</t>
  </si>
  <si>
    <t>KURUM/HEC-et</t>
  </si>
  <si>
    <t>KURUM/nevojat vetjake</t>
  </si>
  <si>
    <t>KEK</t>
  </si>
  <si>
    <t>Ekpsort/Shitje per Optimzim</t>
  </si>
  <si>
    <t>2017(8m)</t>
  </si>
  <si>
    <t>31.08.2017</t>
  </si>
  <si>
    <t>Delivered by KURUM to Transmission (Ulez-Shkopet&amp;Bistrica1,2)</t>
  </si>
  <si>
    <t>26.05.2015</t>
  </si>
  <si>
    <t>20.01.2011</t>
  </si>
  <si>
    <t>17.12.2014</t>
  </si>
  <si>
    <t>04.05.2014</t>
  </si>
  <si>
    <t>30.10.2012</t>
  </si>
  <si>
    <t>11.06.2015</t>
  </si>
  <si>
    <t>27.05.2011</t>
  </si>
  <si>
    <t>25.05.2012</t>
  </si>
  <si>
    <t>15.05.2013</t>
  </si>
  <si>
    <t>17.09.2013</t>
  </si>
  <si>
    <t>06.03.2015</t>
  </si>
  <si>
    <t>31.01.2011</t>
  </si>
  <si>
    <t>01.07.2015</t>
  </si>
  <si>
    <t>09.05.2011</t>
  </si>
  <si>
    <t>25.04.2011</t>
  </si>
  <si>
    <t>17.12.2013</t>
  </si>
  <si>
    <t>Alb Energy Market</t>
  </si>
  <si>
    <t>54X-ALBEM----11Y</t>
  </si>
  <si>
    <t>07.07.2017</t>
  </si>
  <si>
    <t>10.03.2015</t>
  </si>
  <si>
    <t>25.04.2014</t>
  </si>
  <si>
    <t>54X-WENERG---10E</t>
  </si>
  <si>
    <t>10.06.2015</t>
  </si>
  <si>
    <t>03.03.2011</t>
  </si>
  <si>
    <t>23.03.2017</t>
  </si>
  <si>
    <t>05.04.2017</t>
  </si>
  <si>
    <t>GAEA-Energjia Alternative e Gjelber</t>
  </si>
  <si>
    <t>07.12.2015</t>
  </si>
  <si>
    <t>Energy Financing Team Tirana</t>
  </si>
  <si>
    <t>54X-EFT-TIRANA-V</t>
  </si>
  <si>
    <t>24.08.2017</t>
  </si>
  <si>
    <t>Nr.</t>
  </si>
  <si>
    <t>Total [MWh]</t>
  </si>
  <si>
    <t>DEVOLLI HP</t>
  </si>
  <si>
    <t>AL-GR Greece - IN</t>
  </si>
  <si>
    <t>AL-RS (KS) Kosovo - IN</t>
  </si>
  <si>
    <t>AL-ME Monte Negro - IN</t>
  </si>
  <si>
    <t>Total IN</t>
  </si>
  <si>
    <t>AL-GR Greece - OUT</t>
  </si>
  <si>
    <t>AL-RS (KS) Kosovo - OUT</t>
  </si>
  <si>
    <t>AL-ME Monte Negro - OUT</t>
  </si>
  <si>
    <t>Total OUT</t>
  </si>
  <si>
    <t>Total transaksione</t>
  </si>
  <si>
    <t>GEN-I</t>
  </si>
  <si>
    <t>DANSKE</t>
  </si>
  <si>
    <t>FUTURE</t>
  </si>
  <si>
    <t>NOA</t>
  </si>
  <si>
    <t>KESH</t>
  </si>
  <si>
    <t>Shenime:</t>
  </si>
  <si>
    <t>AXPO DOO BEOGRAD</t>
  </si>
  <si>
    <t>EFT AG</t>
  </si>
  <si>
    <t>DEVOLL HYDROPOWER</t>
  </si>
  <si>
    <t>GSA shpk</t>
  </si>
  <si>
    <t>AYEN Energy Trade</t>
  </si>
  <si>
    <t>DANSKE COMMODITIES</t>
  </si>
  <si>
    <t>HSE</t>
  </si>
  <si>
    <t>A&amp;A Group of Companies</t>
  </si>
  <si>
    <t>KESH sh.a</t>
  </si>
  <si>
    <t>1.05.2017-31.05.2017</t>
  </si>
  <si>
    <t>01.06.2017-30.06.2017</t>
  </si>
  <si>
    <t>1.07.2017-31.07.2017</t>
  </si>
  <si>
    <t>1.08.2017-31.08.2017</t>
  </si>
  <si>
    <t>Source  ERE, OST, KESH, OSHEE</t>
  </si>
  <si>
    <t>Source  OST</t>
  </si>
  <si>
    <t>Source KESH</t>
  </si>
  <si>
    <t>Source  OSHEE</t>
  </si>
  <si>
    <t>Source  OST, OSHEE</t>
  </si>
  <si>
    <t>Source  KESH, OSHEE</t>
  </si>
  <si>
    <t>Source  KESH, OST, OSHEE</t>
  </si>
  <si>
    <t>Source OST</t>
  </si>
  <si>
    <t>Source OST sha</t>
  </si>
  <si>
    <t>ELECTRICITY BALANCE 8- Monthly 2017 (MWh)</t>
  </si>
  <si>
    <t xml:space="preserve">Exchanges balance </t>
  </si>
  <si>
    <t xml:space="preserve">Sold to TSO for Losses +own consumption </t>
  </si>
  <si>
    <t>Deliverd to TPP of Vlora</t>
  </si>
  <si>
    <t xml:space="preserve">Shedule deviation in  Interkonections </t>
  </si>
  <si>
    <t xml:space="preserve">Energy for auxiliary services and inbalances (pa OSHEE) </t>
  </si>
  <si>
    <t>Not reconciled (inbalances KESH-OSHEE)</t>
  </si>
  <si>
    <t xml:space="preserve">Energy deliverd to OSHEE sha </t>
  </si>
  <si>
    <t xml:space="preserve">Sold to Household customers </t>
  </si>
  <si>
    <t xml:space="preserve">Sold to Non-household customers </t>
  </si>
  <si>
    <t xml:space="preserve">Non Technical losses at the area </t>
  </si>
  <si>
    <t xml:space="preserve">Technical losses at the area </t>
  </si>
  <si>
    <t xml:space="preserve">Technical losses on HV </t>
  </si>
  <si>
    <t xml:space="preserve">Net KESH </t>
  </si>
  <si>
    <t xml:space="preserve">OSHEE Consumption </t>
  </si>
  <si>
    <t>Consumed by the Customers in HV  ("eligible")</t>
  </si>
  <si>
    <t xml:space="preserve">Consumed by Vlora TPP </t>
  </si>
  <si>
    <t>Consumed by TSO (losses  + own consumption)</t>
  </si>
  <si>
    <t>TOTAL CONSUMPTION  4-M 2017</t>
  </si>
  <si>
    <t>Total domestic consumption</t>
  </si>
  <si>
    <t>Import OSHEE</t>
  </si>
  <si>
    <t xml:space="preserve">Net (Selit) </t>
  </si>
  <si>
    <t>Priv/Concess HPP-s at OSHEE grid</t>
  </si>
  <si>
    <t>Priv/Concess HPP-s at OST grid</t>
  </si>
  <si>
    <t>Net Ashta</t>
  </si>
  <si>
    <t>Net Banja</t>
  </si>
  <si>
    <t>Net KURUM</t>
  </si>
  <si>
    <t>HPP Peshqesh</t>
  </si>
  <si>
    <t xml:space="preserve">Net domestic generation </t>
  </si>
  <si>
    <t xml:space="preserve">Albanian Transmission System Operator data during 8-M 2017 (MWh) </t>
  </si>
  <si>
    <t>Delivered by KESH-Gen to Transmission Grid</t>
  </si>
  <si>
    <t>DELIVERED</t>
  </si>
  <si>
    <t xml:space="preserve"> RECEIVED</t>
  </si>
  <si>
    <t>Delivered by priority HPPs to Transmission Grid</t>
  </si>
  <si>
    <t>Delivered by small/local HPPs  to Transmission Grid</t>
  </si>
  <si>
    <t>Generation  KURUM (IPP)</t>
  </si>
  <si>
    <t>HPP of ASHTA (IPP agreement with OSHEE)</t>
  </si>
  <si>
    <t>HPP BANJE (IPP)</t>
  </si>
  <si>
    <t>HPP PESHQESH (IPP)</t>
  </si>
  <si>
    <t>Delivered to HV Consumers (consumers in open market)</t>
  </si>
  <si>
    <t>Exporti (Delivered (-) to Interconnection)</t>
  </si>
  <si>
    <t>Import (Received (+)by interconections )</t>
  </si>
  <si>
    <t>Total Delivered by Transmission + deliverd to interconections</t>
  </si>
  <si>
    <t xml:space="preserve">Total energy in  Transmission system </t>
  </si>
  <si>
    <t>KESH net production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</si>
  <si>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</si>
  <si>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KESH  Production</t>
  </si>
  <si>
    <t>January</t>
  </si>
  <si>
    <t>February</t>
  </si>
  <si>
    <t>March</t>
  </si>
  <si>
    <t>April</t>
  </si>
  <si>
    <t>June</t>
  </si>
  <si>
    <t>July</t>
  </si>
  <si>
    <t>August</t>
  </si>
  <si>
    <t>KESH  ENERGY BALANCE  January-August 2017</t>
  </si>
  <si>
    <t>Purchases in OST (for pozitive inbalances)</t>
  </si>
  <si>
    <t xml:space="preserve">Import/Purchases in the unregulated market for  optimisation  </t>
  </si>
  <si>
    <r>
      <t xml:space="preserve">Energy for trade  </t>
    </r>
    <r>
      <rPr>
        <b/>
        <sz val="10"/>
        <rFont val="Calibri"/>
        <family val="2"/>
      </rPr>
      <t>→</t>
    </r>
  </si>
  <si>
    <t xml:space="preserve">Energy sold to OSHEE </t>
  </si>
  <si>
    <t xml:space="preserve">Energy for tariff  Consumers </t>
  </si>
  <si>
    <t>Energy for OSHEE losses</t>
  </si>
  <si>
    <t>Exchange KESH+ Deposit   (KEK &amp; GSA &amp; EFT)</t>
  </si>
  <si>
    <t>Energy sold OST for losses</t>
  </si>
  <si>
    <t>Energy sold OST for inbalances</t>
  </si>
  <si>
    <t>AYEN ENERGY Trading/own consumption</t>
  </si>
  <si>
    <t>KURUM/own consumption</t>
  </si>
  <si>
    <r>
      <t xml:space="preserve">Sold energy /Exchange / Deposit   </t>
    </r>
    <r>
      <rPr>
        <b/>
        <sz val="10"/>
        <rFont val="Calibri"/>
        <family val="2"/>
      </rPr>
      <t>↑</t>
    </r>
  </si>
  <si>
    <t>Not reconciled and not billed energy by KESH</t>
  </si>
  <si>
    <t>Total Energy at OSHEE company (MWh)</t>
  </si>
  <si>
    <t>Energy transmitted by TSO for the account of OSHEE Sh.a</t>
  </si>
  <si>
    <t xml:space="preserve">From KESH -Gen by TSO </t>
  </si>
  <si>
    <t xml:space="preserve">By TSO as OSHEE company import </t>
  </si>
  <si>
    <t xml:space="preserve">By TSO for the account of OSHEE company customers generated from the HPP-s in the transmission grid </t>
  </si>
  <si>
    <t xml:space="preserve">From VLORA TPP by TSO </t>
  </si>
  <si>
    <t xml:space="preserve">From Bistrica 1,2 by TSO </t>
  </si>
  <si>
    <t xml:space="preserve">Energy directly transmitted in the OSHEE company grid </t>
  </si>
  <si>
    <t xml:space="preserve">Ulez,Lanabregas HPP </t>
  </si>
  <si>
    <t xml:space="preserve">Private/Concession plants </t>
  </si>
  <si>
    <t>Total energy in the Distribution Grid  (MWh)</t>
  </si>
  <si>
    <t>Total Losses at OSHEE company (MWh)</t>
  </si>
  <si>
    <t>Technical losses in HV unit (MWh)</t>
  </si>
  <si>
    <t>Technical losses at the areas (MWh)</t>
  </si>
  <si>
    <t>Non technical losses at the area (MWh)</t>
  </si>
  <si>
    <t>Total losses at OSHEE company (%)</t>
  </si>
  <si>
    <t>Technical losses at HV unit (%)</t>
  </si>
  <si>
    <t>Technical losses at the areas  (%)</t>
  </si>
  <si>
    <t>Non technical losses at the areas  (%)</t>
  </si>
  <si>
    <t xml:space="preserve">Energy sold for all OSHEE company customers </t>
  </si>
  <si>
    <t>Sold to private customers (MWh)</t>
  </si>
  <si>
    <t>Sold from the transmission grid for the account of OSHEE</t>
  </si>
  <si>
    <t xml:space="preserve">Sold for personal needs of OSHEE company </t>
  </si>
  <si>
    <t>Sold to private customers  (without the ones for personal needs and those at HV )</t>
  </si>
  <si>
    <t>Sold to non-budgetary customers (MWh)</t>
  </si>
  <si>
    <t>Sold to budgetary customers (MWh)</t>
  </si>
  <si>
    <t>Sold to household customers (MWh)</t>
  </si>
  <si>
    <t>Sold to household customers  (MWh)</t>
  </si>
  <si>
    <t xml:space="preserve">Sold to household customers for the common facilities </t>
  </si>
  <si>
    <t>Invoiced to the previous month  (000/ALL )</t>
  </si>
  <si>
    <t>Actual month collections  (000 ALL)</t>
  </si>
  <si>
    <t xml:space="preserve">Collected for the current invoices of the actual year </t>
  </si>
  <si>
    <t xml:space="preserve">Collected for other invoices of the actual year </t>
  </si>
  <si>
    <t xml:space="preserve">Collected for the other invoices of the previous years </t>
  </si>
  <si>
    <t>Actual month collections (%)</t>
  </si>
  <si>
    <t>Collected for the current invoices of the actual year (%)</t>
  </si>
  <si>
    <t>Collected for other invoices of the actual year (%)</t>
  </si>
  <si>
    <t>Collected for other invoices of the previous years (%)</t>
  </si>
  <si>
    <t>Invoiced to the reporting month (000/ALL)</t>
  </si>
  <si>
    <t>No. of the customers in total (No.)</t>
  </si>
  <si>
    <t>Invoices issued with reading consumption (No.)</t>
  </si>
  <si>
    <t>Quantity of invoiced energy with reading consumption  (MWh)</t>
  </si>
  <si>
    <t>Invoices issued with "0" reading  (No.)</t>
  </si>
  <si>
    <t>No.of invoices issued without reading (unmeasured energy) (No.)</t>
  </si>
  <si>
    <t>Energy quantity invoiced as unmeasured energy  (MWh)</t>
  </si>
  <si>
    <t>No.of invoices issued without reading (economic damage) (No.)</t>
  </si>
  <si>
    <t>Amount invoiced as economic damage (000/ALL)</t>
  </si>
  <si>
    <t>No.of invoices for which it is colleced overdue payment (No.)</t>
  </si>
  <si>
    <t>Value of the collected overdue payments (000/ALL)</t>
  </si>
  <si>
    <t>TABLE WITH PERIODIC (MONTHLY) DATA OF OSHEE 8-M 2017</t>
  </si>
  <si>
    <t>September</t>
  </si>
  <si>
    <t>Progresiv</t>
  </si>
  <si>
    <t>“HPP of Bishnica 1,2 “shpk</t>
  </si>
  <si>
    <t>"HPP of Lanabregas" sha</t>
  </si>
  <si>
    <t>”HPP of Vlushe ” shpk</t>
  </si>
  <si>
    <t>”HPP of-Treske”shpk</t>
  </si>
  <si>
    <t>”HPP of Qarr &amp; Kaltanj”shpk</t>
  </si>
  <si>
    <t>"HPP of i Tervolit" shpk</t>
  </si>
  <si>
    <t>HPP of Strelca 1,2,3 (1.504 MW, 0.325 MW, 3.52 MW)</t>
  </si>
  <si>
    <t>HPP of Gavran&amp;Gavran 1</t>
  </si>
  <si>
    <t>HPP of Gavran 1</t>
  </si>
  <si>
    <t>HPP of "Fierze" installed capacity  500 MW</t>
  </si>
  <si>
    <t>HPP of "Koman"  installed capacity  600 MW</t>
  </si>
  <si>
    <t>HPP of "V. Dejes" installed capacity  250 MW</t>
  </si>
  <si>
    <t>TPP of Vlora installed capacity 97 MW</t>
  </si>
  <si>
    <t>HPP of "Ulez" installed capacity  25,2 MW</t>
  </si>
  <si>
    <t>HPP of "Shkopet" installed capacity   24 MW</t>
  </si>
  <si>
    <t>HPP of "Bistrica 1" installed capacity  22,5Mw</t>
  </si>
  <si>
    <t>HPP of "Bistrica 2" installed capacity  5 Mw</t>
  </si>
  <si>
    <t>HPP of "Ashta"  installed capacity   48,2 MW</t>
  </si>
  <si>
    <t>HPP of"Peshqesh"installed capacity 27,94 MW;,</t>
  </si>
  <si>
    <t>HPP of "Banje" installed capacity 73 MW</t>
  </si>
  <si>
    <t>HPP of "Bishnica 2"  installed capacity   2.5 MW</t>
  </si>
  <si>
    <t>HPP of "Dardhe"  installed capacity   5,8 MW</t>
  </si>
  <si>
    <t>HPP of”Truen” installed capacity 2,5 MW</t>
  </si>
  <si>
    <t>HPP of”Ternove” installed capacity 0921 Mw</t>
  </si>
  <si>
    <t>HPP of”Gjorice” installed capacity 4.18 Mw</t>
  </si>
  <si>
    <t>HPP of "Sllabinje" installed capacity   13,8 MW</t>
  </si>
  <si>
    <t xml:space="preserve">HPP of"Bele 1"installed capacity 5 MW ; </t>
  </si>
  <si>
    <t>HPP of"Topojan 2" installed capacity 5,8 MW,</t>
  </si>
  <si>
    <t>HPP of"Bele 2"installed capacity 11 MW ;</t>
  </si>
  <si>
    <t>HPP of"Topojan 1" installed capacity 2,9 MW,</t>
  </si>
  <si>
    <t>HPP of"Orgjost I Ri" installed capacity 4,8 MW</t>
  </si>
  <si>
    <t>HPP of "Klos" installed capacity  2.6 MW;</t>
  </si>
  <si>
    <t>HPP of "Shkalle" installed capacity  1.3 MW;</t>
  </si>
  <si>
    <t xml:space="preserve">HPP of "Cerunje-1"  installed capacity  2.3 MW; </t>
  </si>
  <si>
    <t xml:space="preserve">HPP of "Cerunje-2"  installed capacity  2.8 MW; </t>
  </si>
  <si>
    <t>HPP of "Rrupe" installed capacity 3.6 MW;</t>
  </si>
  <si>
    <t>HPP of "Rapuni 1,2"  installed capacity  4 dhe 4.1 MW</t>
  </si>
  <si>
    <t>HPP of "Rapuni 3,4"  installed capacity   8.857 MW</t>
  </si>
  <si>
    <t>HPP of”Llapaj” installed capacity 13,62 MW</t>
  </si>
  <si>
    <t>HPP of"Lengarice" installed capacity 8.94 MW</t>
  </si>
  <si>
    <t>HPP of”Lura 1” installed capacity 6,54 MW</t>
  </si>
  <si>
    <t>HPP of”Lura 2” installed capacity 4,02 MW</t>
  </si>
  <si>
    <t>HPP of”Lura 3” installed capacity 5,66 MW</t>
  </si>
  <si>
    <t>HPP of"Malla" installed capacity 5,455 MW</t>
  </si>
  <si>
    <t>HPP of Prella installed capacity 14.97 MW</t>
  </si>
  <si>
    <t>HPP of"Lanabregas" installed capacity 5 MW</t>
  </si>
  <si>
    <t>HPP of "Lenie" installed capacity   400 kW</t>
  </si>
  <si>
    <t>HPP of "Çorovode" installed capacity  200 kW</t>
  </si>
  <si>
    <t>HPP of "Smokthine" installed capacity   9,2 MW</t>
  </si>
  <si>
    <t>HPP of "Bulqize" installed capacity 0,6 MW (Diber)</t>
  </si>
  <si>
    <t>HPP of "Homesh" installed capacity 0,395 MW (Diber</t>
  </si>
  <si>
    <t>HPP of "Zerqan" installed capacity 0,625 MW (Diber)</t>
  </si>
  <si>
    <t>HPP of "Arras" installed capacity 4,8 MW (Diber)</t>
  </si>
  <si>
    <t>HPP of "Orgjost" installed capacity 1,2 MW (Kukes)</t>
  </si>
  <si>
    <t>HPP of "Lekbibaj" installed capacity 1,4 MW (Tropoje)</t>
  </si>
  <si>
    <t>HPP of "Dukagjin" installed capacity 0,64 MW (Shkoder)</t>
  </si>
  <si>
    <t>HPP of "Marjan" installed capacity 0,2 MW (Korce)</t>
  </si>
  <si>
    <t>HPP of "Lozhan" installed capacity 0,1 MW (Korce)</t>
  </si>
  <si>
    <t>HPP of "Barmash" installed capacity 0,83 MW (Kolonje)</t>
  </si>
  <si>
    <t>HPP of "Treske 2" installed capacity 0,25 MW (Korce)</t>
  </si>
  <si>
    <t>HPP of "Nikolice" installed capacity 0,7 MW (Korce)</t>
  </si>
  <si>
    <t>HPP of "Funares" installed capacity 1,92 MW (Librazhd)</t>
  </si>
  <si>
    <t>HPP of "Lunik" installed capacity 0,2 MW (Librazhd)</t>
  </si>
  <si>
    <t>HPP of "Kerpice" installed capacity 0,42 MW (Gramsh)</t>
  </si>
  <si>
    <t>HPP of "Ujanik" installed capacity 0,63 MW (Skrapar)</t>
  </si>
  <si>
    <t>HPP of "Borsh" installed capacity 0,25 MW (Sarande)</t>
  </si>
  <si>
    <t>HPP of "Leshnice" installed capacity 0,38 MW (Sarande)</t>
  </si>
  <si>
    <t>HPP of "Velcan" installed capacity 1,2 MW (Korce)</t>
  </si>
  <si>
    <t>HPP of "Muhur" installed capacity 0,25 MW (Diber)</t>
  </si>
  <si>
    <t>HPP of "Rajan" installed capacity 1,02 MW (Kolonje)</t>
  </si>
  <si>
    <t>HPP of "Lure" installed capacity 0,75 MW (Diber)</t>
  </si>
  <si>
    <t>HPP of "Gjanç "  installed capacity   2,96  MW</t>
  </si>
  <si>
    <t>HPP of "Bogove"  installed capacity   2,5 MW</t>
  </si>
  <si>
    <t>HPP of "Xhyre"  installed capacity   570 kW</t>
  </si>
  <si>
    <t>HPP of "Stranik" installed capacity   4.6 MW</t>
  </si>
  <si>
    <t>HPP of "Zall Tore"  installed capacity   3 MW</t>
  </si>
  <si>
    <t>HPP of "Klos"  installed capacity   1,95 MW</t>
  </si>
  <si>
    <t>HPP of "Borje"  installed capacity   1.5 MW</t>
  </si>
  <si>
    <t>HPP of "Cernaleve "  installed capacity   2.95 MW</t>
  </si>
  <si>
    <t>HPP of "Cernaleve 1"  installed capacity   3.27 MW</t>
  </si>
  <si>
    <t>HPP of "Murdhar 1"  installed capacity   2.68 MW</t>
  </si>
  <si>
    <t>HPP of "Murdhar 2"  installed capacity   1 MW</t>
  </si>
  <si>
    <t>HPP of "Dishnice" installed capacity   0.2 MW</t>
  </si>
  <si>
    <t>HPP of "Lubonje"  installed capacity   0.3 Mw</t>
  </si>
  <si>
    <t>HPP of "Peshke"  installed capacity   3.43 MW</t>
  </si>
  <si>
    <t>HPP of "Labinot –Mal" installed capacity   0.25 MW</t>
  </si>
  <si>
    <t>HPP of "Pobreg"  installed capacity   12,3 MW</t>
  </si>
  <si>
    <t>HPP of "Vlushe" installed capacity 14.2 MW</t>
  </si>
  <si>
    <t>HPP of"Belesova 1" installed capacity  0.150 MW</t>
  </si>
  <si>
    <t>HPP of "Faqekuq 1,2" installed capacity (3 MW; 3.4 MW)</t>
  </si>
  <si>
    <t>HPP of"Shemri" installed capacity  1 MW</t>
  </si>
  <si>
    <t>HPP of"Mgulle" installed capacity  0.28 MW</t>
  </si>
  <si>
    <t>HPP of"Kryezi 1" installed capacity  0.6 Mw</t>
  </si>
  <si>
    <t>HPP of"Selishte" installed capacity  2 MW</t>
  </si>
  <si>
    <t>HPP of”Carshove” installed capacity 1.5 Mw</t>
  </si>
  <si>
    <t>HPP of”Ura e Dashit” installed capacity 1,2MW</t>
  </si>
  <si>
    <t>HPP of”Gizavesh” installed capacity 0.5 MW</t>
  </si>
  <si>
    <t>HPP of “Koka 1”  installed capacity 3,2 MW</t>
  </si>
  <si>
    <t>HPP of “Stravaj”  installed capacity 3,6 MW</t>
  </si>
  <si>
    <t>HPP of”Picar 1”  installed capacity 0,2 MW</t>
  </si>
  <si>
    <t>HPP of”Vertop” installed capacity 1,52 Mw</t>
  </si>
  <si>
    <t>HPP of”Martanesh” installed capacity 10,5 MW</t>
  </si>
  <si>
    <t>HPP of”Verba 1,2” installed capacity (2 MW, 3 MW)</t>
  </si>
  <si>
    <t>HPP of”Fterra” installed capacity1,08 MW</t>
  </si>
  <si>
    <t>HPP of”Ostren i Vogel” installed capacity 0,32 MW</t>
  </si>
  <si>
    <t>HPP of”Kozel” installed capacity 0,5 MW</t>
  </si>
  <si>
    <t>HPP of”Helmes 1” installed capacity 0,8 MW</t>
  </si>
  <si>
    <t>HPP of”Helmes 2” installed capacity 0,5, MW</t>
  </si>
  <si>
    <t>HPP of”Qafezeze” installed capacity 0,4 MW</t>
  </si>
  <si>
    <t>HPP of”Trebisht” installed capacity 1,775 MW</t>
  </si>
  <si>
    <t>HPP of”Mollaj” installed capacity 0,6 MW</t>
  </si>
  <si>
    <t>HPP of”Tucep” installed capacity 0,4 MW</t>
  </si>
  <si>
    <t>HPP of”Treska4” installed capacity  3,6 MW</t>
  </si>
  <si>
    <t>HPP of”Treska e Re” 5 installed capacity     MW</t>
  </si>
  <si>
    <t>HPP of”Sotire1 &amp; 2” installed capacity  2,2 MW</t>
  </si>
  <si>
    <t>HPP of”Shutine” installed capacity  2,4 MW</t>
  </si>
  <si>
    <t>HPP of”Cekrez 1,2” installed capacity (0,23 MW; 0.43 MW)</t>
  </si>
  <si>
    <t>HPP of”Qarr” installed capacity  1 MW</t>
  </si>
  <si>
    <t>HPP of”Bisak” installed capacity 1,3 MW</t>
  </si>
  <si>
    <t>HPP of”Shales” installed capacity  1,08 MW</t>
  </si>
  <si>
    <t>HPP of”Strelce” installed capacity  1,174 MW</t>
  </si>
  <si>
    <t>HPP of "Shpelle" installed capacity   400 kW</t>
  </si>
  <si>
    <t>HPP of "Treska 1" installed capacity   130 kW</t>
  </si>
  <si>
    <t>HPP of "Bicaj" installed capacity   3,1 MW</t>
  </si>
  <si>
    <t>HPP of "Leskovik 1" installed capacity  1072 kW</t>
  </si>
  <si>
    <t>HPP of "Leskovik 2" installed capacity  1100 kW</t>
  </si>
  <si>
    <t>HPP of "Orenjë" installed capacity   875 kW</t>
  </si>
  <si>
    <t>HPP of "Tamarë" installed capacity  750 kW</t>
  </si>
  <si>
    <t>HPP of "Benë" installed capacity   1000 kW</t>
  </si>
  <si>
    <t>HPP of "Vithkuq" installed capacity   2,715 MW</t>
  </si>
  <si>
    <t>HPP of "Selce" installed capacity  1600 kW</t>
  </si>
  <si>
    <t>HPP of” Kumbull- Merkurth” installed capacity   0.83 Mw</t>
  </si>
  <si>
    <t>HPP of "Sasaj" installed capacity  8,6 MW</t>
  </si>
  <si>
    <t>HPP of "Tervol" installed capacity  10.6 MW</t>
  </si>
  <si>
    <t>HPP of "Radove" installed capacity  2,5 MW</t>
  </si>
  <si>
    <t>HPP of"Gurshpat 1"installed capacity 0,84 MW,</t>
  </si>
  <si>
    <t>HPP of"Gurshpat 2"installed capacity 0,83 MW</t>
  </si>
  <si>
    <t>HPP of"Bistrica 3"installed capacity 1,57 MW,</t>
  </si>
  <si>
    <t>HPP of"Hurdhas 1"installed capacity 1,71MW,</t>
  </si>
  <si>
    <t>HPP of"Perrollaj" installed capacity 0,5 MW</t>
  </si>
  <si>
    <t>HPP of"Koxheraj" installed capacity 0,62 MW</t>
  </si>
  <si>
    <t>HPP of"Kacni" installed capacity 3,87 MW</t>
  </si>
  <si>
    <t>HPP of"Lena 1"installed capacity 1,95 MW;,</t>
  </si>
  <si>
    <t>HPP of"Lena 2" installed capacity 2,3 MW</t>
  </si>
  <si>
    <t>HPP of"Lena 2A" installed capacity 0,25 MW</t>
  </si>
  <si>
    <t>HPP of "Driza" installed capacity 3,408 MW</t>
  </si>
  <si>
    <t>HPP of "Ujanik 2" installed capacity 2,5 MW</t>
  </si>
  <si>
    <t>HPP of "Nishove" installed capacity 1,36 MW</t>
  </si>
  <si>
    <t>HPP of "Shtika" installed capacity 1,3 MW</t>
  </si>
  <si>
    <t>HPP of "Ballenje" installed capacity 1,9 MW</t>
  </si>
  <si>
    <t>GENERATION DURING 2016 FROM THE PLANTS CONNECTED IN THE TRANSMISSION GRID (MWh)</t>
  </si>
  <si>
    <t xml:space="preserve">HPP-s and CAPACITIES </t>
  </si>
  <si>
    <t>COMPANY</t>
  </si>
  <si>
    <t>CONNECTION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</si>
  <si>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</si>
  <si>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</si>
  <si>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</si>
  <si>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</si>
  <si>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</si>
  <si>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</si>
  <si>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</si>
  <si>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</si>
  <si>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GENERATION DURING 2016 FROM THE PLANTS CONNECTED IN THE DISTRIBUTION GRID (MWh)</t>
  </si>
  <si>
    <t>FIERZA LEVEL   1991-2017</t>
  </si>
  <si>
    <t>October</t>
  </si>
  <si>
    <t>November</t>
  </si>
  <si>
    <t>December</t>
  </si>
  <si>
    <t>Avarage</t>
  </si>
  <si>
    <t>Minimum</t>
  </si>
  <si>
    <t>Maximum</t>
  </si>
  <si>
    <t>INVOICES-COLLECTIONS AND THE CHANGE OF THE DEBT STATUS DURING 2014             (000/ALL )</t>
  </si>
  <si>
    <t>Year 2014</t>
  </si>
  <si>
    <t>Collections according to 31.12.2013 CEZ Shperndarje</t>
  </si>
  <si>
    <t xml:space="preserve">Invoiced 2014  </t>
  </si>
  <si>
    <t xml:space="preserve">Collections for 2014 invoices  </t>
  </si>
  <si>
    <t xml:space="preserve">Collections for the 2007-2013 period invoices  </t>
  </si>
  <si>
    <t xml:space="preserve">Total collections  </t>
  </si>
  <si>
    <t>Collected for the energy invoiced for 2014</t>
  </si>
  <si>
    <t>The change of collected calculations status during 2014</t>
  </si>
  <si>
    <t>Obligation remissions with Council of Ministers Decision no. 198, of date  03.04.2014</t>
  </si>
  <si>
    <t>INVOICES-COLLECTIONS AND THE CHANGE OF THE DEBT STATUS DURING 2015             (000/ALL )</t>
  </si>
  <si>
    <t>Year 2015</t>
  </si>
  <si>
    <t xml:space="preserve">Collected according to 31.12.2014 OSHEE </t>
  </si>
  <si>
    <t xml:space="preserve">Invoiced 2015  </t>
  </si>
  <si>
    <t xml:space="preserve">collections for 2015 invoices  </t>
  </si>
  <si>
    <t xml:space="preserve">Collection for 2007-2014 invoices  </t>
  </si>
  <si>
    <t>Collected for invoiced energy during 2015</t>
  </si>
  <si>
    <t>Change of the collected calculations status during 2015</t>
  </si>
  <si>
    <t>Obligation remission</t>
  </si>
  <si>
    <t>INVOICES-COLLECTIONS INVOICES AND THE CHANGE OF THE DEBT STATUS DURING 2016   (000/ALL)</t>
  </si>
  <si>
    <t xml:space="preserve">Collected according to 31.12.2015 OSHEE </t>
  </si>
  <si>
    <t xml:space="preserve">Invoiced 2016  </t>
  </si>
  <si>
    <t xml:space="preserve">Collection for 2016 invoices  </t>
  </si>
  <si>
    <t xml:space="preserve">Collection for 2007-2015 invoices  </t>
  </si>
  <si>
    <t xml:space="preserve">Total collection </t>
  </si>
  <si>
    <t>Collected for invoiced energy during 2016</t>
  </si>
  <si>
    <t>Change of the collected calculations status during  2016</t>
  </si>
  <si>
    <t xml:space="preserve">Obligations Remission   </t>
  </si>
  <si>
    <t>INVOICES-COLLECTIONS INVOICES AND THE CHANGE OF THE DEBT STATUS DURING 2017   (000/ALL)</t>
  </si>
  <si>
    <t xml:space="preserve">Collected according to 31.12.2016 OSHEE </t>
  </si>
  <si>
    <t xml:space="preserve">Invoiced 2017  </t>
  </si>
  <si>
    <t xml:space="preserve">Collection for 2017 invoices  </t>
  </si>
  <si>
    <t xml:space="preserve">Collection for 2007-2016 invoices  </t>
  </si>
  <si>
    <t>Collected for invoiced energy during 2017</t>
  </si>
  <si>
    <t>Change of the collected calculations status during  2017</t>
  </si>
  <si>
    <t>Trends of OSHEE's Debtors during  31MAY 2009  - 31 AUGUST 2017   ( 000 000 LEKË)</t>
  </si>
  <si>
    <t xml:space="preserve">Debtors </t>
  </si>
  <si>
    <t>Non-budgetary</t>
  </si>
  <si>
    <t>Budgetary</t>
  </si>
  <si>
    <t>Household</t>
  </si>
  <si>
    <t>Private</t>
  </si>
  <si>
    <t>DISTRIBUTION OPERATOR PERFORMANCE 2009-2016 (%)</t>
  </si>
  <si>
    <t>LOSSES LEVEL (%)  2009-2017</t>
  </si>
  <si>
    <t>Collections Level ( %)    2009-2017</t>
  </si>
  <si>
    <t>Sales effectiveness (%)  2009-2017</t>
  </si>
  <si>
    <t>Collections</t>
  </si>
  <si>
    <t>Losses</t>
  </si>
  <si>
    <t>Sales effectiveness</t>
  </si>
  <si>
    <t>Total energy in the Distribution System Operator  2009-2017   in MWh</t>
  </si>
  <si>
    <t xml:space="preserve">November </t>
  </si>
  <si>
    <t>YEAR</t>
  </si>
  <si>
    <t xml:space="preserve">NET GENERATION IN ALBANIA </t>
  </si>
  <si>
    <t>Net Generation KESH Gen.</t>
  </si>
  <si>
    <t>Private/Concession HPP-s (Distribution Grid)</t>
  </si>
  <si>
    <t>Private/Concession HPP-s (Transmission Grid)</t>
  </si>
  <si>
    <t xml:space="preserve">Ashta HPP </t>
  </si>
  <si>
    <t xml:space="preserve">Net generation Lanabregas HPP </t>
  </si>
  <si>
    <t>Net generation (Ulez,Shkopet,Bistrica 1,2 HPP-s)</t>
  </si>
  <si>
    <t>Peshqesh HPP generation</t>
  </si>
  <si>
    <t xml:space="preserve">Banja HPP generation </t>
  </si>
  <si>
    <t xml:space="preserve">NET ENERGY GENERATED IN ALBANIA </t>
  </si>
  <si>
    <t xml:space="preserve">ENERGY FROM THE INTERCONNECTION </t>
  </si>
  <si>
    <t xml:space="preserve">Delivered energy from the interconnection </t>
  </si>
  <si>
    <t xml:space="preserve">Received energy from the interconnection </t>
  </si>
  <si>
    <t xml:space="preserve">Delivered/Received Balance from the interconnection </t>
  </si>
  <si>
    <t xml:space="preserve">ENERGY CONSUMPTION IN ALBANIA </t>
  </si>
  <si>
    <t>Consumed by OSHEE (SALES + LOSSES )</t>
  </si>
  <si>
    <t>Consumed by TSO (losses +personal consumption)</t>
  </si>
  <si>
    <t xml:space="preserve">Consumed by "Qualified" customers </t>
  </si>
  <si>
    <t xml:space="preserve">CONSUMED IN ALBANIA </t>
  </si>
  <si>
    <t>Progresive 2017</t>
  </si>
  <si>
    <t>CUSTOMERS</t>
  </si>
  <si>
    <t>Invoiced Energy MWh</t>
  </si>
  <si>
    <t>Monthly total</t>
  </si>
  <si>
    <t>DEVOLLI HPP</t>
  </si>
  <si>
    <t xml:space="preserve"> Interkonection Program Deviations 2017 (MWh)</t>
  </si>
  <si>
    <t>Minus - Received</t>
  </si>
  <si>
    <t>Plus + Delivered</t>
  </si>
  <si>
    <t>Date</t>
  </si>
  <si>
    <t>Table with Allocation data of Available Transmission Capacity (ATC) during 4-M  2017</t>
  </si>
  <si>
    <t>Auction</t>
  </si>
  <si>
    <t>Period</t>
  </si>
  <si>
    <t>Hour</t>
  </si>
  <si>
    <t>Albania- Montenegro</t>
  </si>
  <si>
    <t xml:space="preserve">Albania  - Greece </t>
  </si>
  <si>
    <t xml:space="preserve">ATC offered at the Auction </t>
  </si>
  <si>
    <t xml:space="preserve">ATC sold at the Auction </t>
  </si>
  <si>
    <t xml:space="preserve">Auction price </t>
  </si>
  <si>
    <t>Annual</t>
  </si>
  <si>
    <t>Table for liabilities invoices between Suppliers and KESH company for 2017</t>
  </si>
  <si>
    <t xml:space="preserve">  IMBALANCES</t>
  </si>
  <si>
    <t xml:space="preserve">Inbalances  </t>
  </si>
  <si>
    <t>YEAR 2017</t>
  </si>
  <si>
    <t>Market Participant Register 2017</t>
  </si>
  <si>
    <t>TRADER</t>
  </si>
  <si>
    <t xml:space="preserve">SUPPLIER </t>
  </si>
  <si>
    <t>S</t>
  </si>
  <si>
    <t>DISTRIBUTION</t>
  </si>
  <si>
    <t xml:space="preserve">UNIVERSAL SUPPLIER </t>
  </si>
  <si>
    <t>US</t>
  </si>
  <si>
    <t>PRODUCTION</t>
  </si>
  <si>
    <t>T; S</t>
  </si>
  <si>
    <t>P; T; S</t>
  </si>
  <si>
    <t xml:space="preserve">P; S;T; </t>
  </si>
  <si>
    <t>T, S</t>
  </si>
  <si>
    <t>D , US</t>
  </si>
  <si>
    <t>Market Participant</t>
  </si>
  <si>
    <t>Energy Market Transactions in Open Market by Market Participants  [MWh] for 2017</t>
  </si>
  <si>
    <t>Transaction's type</t>
  </si>
  <si>
    <t>Exchanges/ Cross-Border</t>
  </si>
  <si>
    <t>Exchanges / Cross-Border</t>
  </si>
  <si>
    <t>Internal Transactions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</si>
  <si>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</si>
  <si>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</si>
  <si>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</si>
  <si>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</si>
  <si>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</si>
  <si>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</si>
  <si>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</si>
  <si>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</si>
  <si>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</si>
  <si>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</si>
  <si>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</si>
  <si>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ENERGY IMPORTI BY OSHEE sha (MWh) (IN OPEN MARKET)</t>
  </si>
  <si>
    <t>1. HV Custemers in open market changes  fr the specific month depending on the bilateral contracts</t>
  </si>
  <si>
    <t xml:space="preserve">2. Mark ( - )is  used bor the received energy in grid; ( + ) for the deliverd energy from grid. </t>
  </si>
  <si>
    <t>Sold OSHEE</t>
  </si>
  <si>
    <t>Sold KESH</t>
  </si>
  <si>
    <t>Sold NOA</t>
  </si>
  <si>
    <t>Sold DANSKE</t>
  </si>
  <si>
    <t>Sold GEN-I</t>
  </si>
  <si>
    <t>Sold FUTURE</t>
  </si>
  <si>
    <t>Sold GRID ENERGY</t>
  </si>
  <si>
    <t>Sold A&amp;A Group</t>
  </si>
  <si>
    <t>Sold Konsumatoreve te Kualifikuar</t>
  </si>
  <si>
    <t>Sold GSA</t>
  </si>
  <si>
    <t>Sold ENERGJIA D.O.O VETERNIK</t>
  </si>
  <si>
    <t>Sold KURUM</t>
  </si>
  <si>
    <t>Sold KESH (Compensation Agreement)</t>
  </si>
  <si>
    <t>Sold AYEN</t>
  </si>
  <si>
    <t>Sold GSA (Compensation Agreement)</t>
  </si>
  <si>
    <t xml:space="preserve">Sold GSA </t>
  </si>
  <si>
    <t xml:space="preserve">Sold DANSKE </t>
  </si>
  <si>
    <t>Purchases  KURUM</t>
  </si>
  <si>
    <t>Purchases  FUTURE</t>
  </si>
  <si>
    <t>Purchases  GRID ENERGY</t>
  </si>
  <si>
    <t>Purchases  ENERGJIA D.O.O VETERNIK</t>
  </si>
  <si>
    <t>Purchases  AYEN</t>
  </si>
  <si>
    <t>Purchases  KESH (Compensation Agreement)</t>
  </si>
  <si>
    <t>Purchases  KESH</t>
  </si>
  <si>
    <t>Purchases  GEN-I</t>
  </si>
  <si>
    <t>Purchases  DANSKE</t>
  </si>
  <si>
    <t>Purchases  GSA (Compensation Agreement)</t>
  </si>
  <si>
    <t>Purchases  GSA</t>
  </si>
  <si>
    <t>Purchases  DEVOLL</t>
  </si>
  <si>
    <t>Purchases  NOA</t>
  </si>
  <si>
    <t>Productioni</t>
  </si>
  <si>
    <t>Production HEC BANJA</t>
  </si>
  <si>
    <t>Total Production</t>
  </si>
  <si>
    <t>Production HEC PESHQESH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</si>
</sst>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  <numFmt numFmtId="166" formatCode="_-* #,##0.00_-;\-* #,##0.00_-;_-* &quot;-&quot;??_-;_-@_-"/>
    <numFmt numFmtId="167" formatCode="0.0%"/>
    <numFmt numFmtId="168" formatCode="#,##0.0"/>
    <numFmt numFmtId="169" formatCode="0.0"/>
    <numFmt numFmtId="170" formatCode="#,##0.000"/>
    <numFmt numFmtId="171" formatCode="0.000"/>
    <numFmt numFmtId="172" formatCode="#,##0.0000"/>
    <numFmt numFmtId="173" formatCode="&quot; &quot;#,##0.00&quot;    &quot;;&quot;-&quot;#,##0.00&quot;    &quot;;&quot; -&quot;00&quot;    &quot;;&quot; &quot;@&quot; &quot;"/>
    <numFmt numFmtId="174" formatCode="dd\.mm\.yyyy;@"/>
    <numFmt numFmtId="175" formatCode="dd&quot;/&quot;mm&quot;/&quot;yyyy"/>
  </numFmts>
  <fonts count="1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Garamond"/>
      <family val="1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sz val="10"/>
      <name val="Garamond"/>
      <family val="1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0"/>
      <color indexed="10"/>
      <name val="Garamond"/>
      <family val="1"/>
    </font>
    <font>
      <sz val="10"/>
      <color indexed="10"/>
      <name val="Garamond"/>
      <family val="1"/>
    </font>
    <font>
      <b/>
      <sz val="10"/>
      <color indexed="50"/>
      <name val="Garamond"/>
      <family val="1"/>
    </font>
    <font>
      <b/>
      <u val="single"/>
      <sz val="10"/>
      <color indexed="10"/>
      <name val="Garamond"/>
      <family val="1"/>
    </font>
    <font>
      <b/>
      <sz val="10"/>
      <color indexed="63"/>
      <name val="Tahoma"/>
      <family val="2"/>
    </font>
    <font>
      <b/>
      <i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0"/>
      <color indexed="30"/>
      <name val="Calibri"/>
      <family val="2"/>
    </font>
    <font>
      <i/>
      <sz val="10"/>
      <name val="Garamond"/>
      <family val="1"/>
    </font>
    <font>
      <b/>
      <i/>
      <sz val="10"/>
      <name val="Garamond"/>
      <family val="1"/>
    </font>
    <font>
      <i/>
      <sz val="10"/>
      <color indexed="8"/>
      <name val="Calibri"/>
      <family val="2"/>
    </font>
    <font>
      <b/>
      <i/>
      <sz val="10"/>
      <color indexed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i/>
      <u val="single"/>
      <sz val="10"/>
      <name val="Arial"/>
      <family val="2"/>
    </font>
    <font>
      <b/>
      <i/>
      <sz val="10"/>
      <name val="Calibri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8"/>
      <name val="Garamond"/>
      <family val="1"/>
    </font>
    <font>
      <b/>
      <i/>
      <sz val="10"/>
      <color indexed="10"/>
      <name val="Garamond"/>
      <family val="1"/>
    </font>
    <font>
      <b/>
      <sz val="12"/>
      <color indexed="8"/>
      <name val="Calibri"/>
      <family val="2"/>
    </font>
    <font>
      <b/>
      <sz val="8"/>
      <name val="Garamond"/>
      <family val="1"/>
    </font>
    <font>
      <b/>
      <sz val="8"/>
      <color indexed="8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b/>
      <sz val="8"/>
      <color indexed="8"/>
      <name val="Calibri"/>
      <family val="2"/>
    </font>
    <font>
      <b/>
      <sz val="9"/>
      <color indexed="8"/>
      <name val="Garamond"/>
      <family val="1"/>
    </font>
    <font>
      <sz val="8"/>
      <color indexed="8"/>
      <name val="Garamond"/>
      <family val="1"/>
    </font>
    <font>
      <sz val="10"/>
      <color indexed="9"/>
      <name val="Calibri"/>
      <family val="2"/>
    </font>
    <font>
      <sz val="10"/>
      <color indexed="9"/>
      <name val="Garamond"/>
      <family val="1"/>
    </font>
    <font>
      <b/>
      <sz val="12"/>
      <color indexed="8"/>
      <name val="Garamond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Garamond"/>
      <family val="1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i/>
      <sz val="8"/>
      <name val="Garamond"/>
      <family val="1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6"/>
      <color indexed="8"/>
      <name val="Calibri"/>
      <family val="0"/>
    </font>
    <font>
      <sz val="6"/>
      <color indexed="8"/>
      <name val="Calibri"/>
      <family val="0"/>
    </font>
    <font>
      <b/>
      <sz val="7"/>
      <color indexed="63"/>
      <name val="Calibri"/>
      <family val="0"/>
    </font>
    <font>
      <sz val="9"/>
      <color indexed="63"/>
      <name val="Calibri"/>
      <family val="0"/>
    </font>
    <font>
      <b/>
      <sz val="9"/>
      <color indexed="63"/>
      <name val="Calibri"/>
      <family val="0"/>
    </font>
    <font>
      <b/>
      <sz val="9"/>
      <color indexed="8"/>
      <name val="Calibri"/>
      <family val="0"/>
    </font>
    <font>
      <b/>
      <sz val="7"/>
      <color indexed="8"/>
      <name val="Calibri"/>
      <family val="0"/>
    </font>
    <font>
      <b/>
      <sz val="8"/>
      <color indexed="63"/>
      <name val="Garamond"/>
      <family val="0"/>
    </font>
    <font>
      <b/>
      <sz val="8"/>
      <color indexed="10"/>
      <name val="Garamond"/>
      <family val="0"/>
    </font>
    <font>
      <b/>
      <sz val="8"/>
      <color indexed="36"/>
      <name val="Garamond"/>
      <family val="0"/>
    </font>
    <font>
      <b/>
      <sz val="14"/>
      <color indexed="8"/>
      <name val="Garamond"/>
      <family val="0"/>
    </font>
    <font>
      <sz val="14"/>
      <color indexed="8"/>
      <name val="Garamond"/>
      <family val="0"/>
    </font>
    <font>
      <sz val="6"/>
      <color indexed="8"/>
      <name val="Arial"/>
      <family val="0"/>
    </font>
    <font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b/>
      <sz val="10"/>
      <color rgb="FFFF0000"/>
      <name val="Garamond"/>
      <family val="1"/>
    </font>
    <font>
      <sz val="10"/>
      <color rgb="FFFF0000"/>
      <name val="Garamond"/>
      <family val="1"/>
    </font>
    <font>
      <b/>
      <u val="single"/>
      <sz val="10"/>
      <color rgb="FFFF0000"/>
      <name val="Garamond"/>
      <family val="1"/>
    </font>
    <font>
      <b/>
      <sz val="10"/>
      <color rgb="FF404040"/>
      <name val="Tahoma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0"/>
      <color rgb="FF0070C0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Arial Narrow"/>
      <family val="2"/>
    </font>
    <font>
      <sz val="10"/>
      <color rgb="FFFF0000"/>
      <name val="Arial"/>
      <family val="2"/>
    </font>
    <font>
      <b/>
      <i/>
      <sz val="10"/>
      <color theme="1"/>
      <name val="Garamond"/>
      <family val="1"/>
    </font>
    <font>
      <b/>
      <sz val="8"/>
      <color theme="1"/>
      <name val="Garamond"/>
      <family val="1"/>
    </font>
    <font>
      <b/>
      <i/>
      <sz val="10"/>
      <color rgb="FFFF0000"/>
      <name val="Garamond"/>
      <family val="1"/>
    </font>
    <font>
      <sz val="10"/>
      <color theme="0"/>
      <name val="Calibri"/>
      <family val="2"/>
    </font>
    <font>
      <sz val="10"/>
      <color theme="0"/>
      <name val="Garamond"/>
      <family val="1"/>
    </font>
    <font>
      <b/>
      <sz val="9"/>
      <color theme="1"/>
      <name val="Garamond"/>
      <family val="1"/>
    </font>
    <font>
      <sz val="8"/>
      <color theme="1"/>
      <name val="Garamond"/>
      <family val="1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Garamond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1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hair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 style="double"/>
      <top style="double"/>
      <bottom/>
    </border>
    <border>
      <left style="thin"/>
      <right style="double"/>
      <top style="thin"/>
      <bottom style="thin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double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double"/>
      <top style="hair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double"/>
      <top style="hair"/>
      <bottom style="thin"/>
    </border>
    <border>
      <left style="thin"/>
      <right style="double"/>
      <top style="thin"/>
      <bottom/>
    </border>
    <border>
      <left style="double"/>
      <right/>
      <top style="thin"/>
      <bottom style="hair"/>
    </border>
    <border>
      <left style="double"/>
      <right/>
      <top style="hair"/>
      <bottom style="hair"/>
    </border>
    <border>
      <left style="double"/>
      <right/>
      <top style="hair"/>
      <bottom style="double"/>
    </border>
    <border>
      <left style="hair"/>
      <right style="thin"/>
      <top style="hair"/>
      <bottom style="double"/>
    </border>
    <border>
      <left/>
      <right style="thin"/>
      <top style="hair"/>
      <bottom style="double"/>
    </border>
    <border>
      <left style="thin"/>
      <right/>
      <top style="hair"/>
      <bottom style="double"/>
    </border>
    <border>
      <left style="thin"/>
      <right style="double"/>
      <top style="hair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double"/>
      <top style="hair"/>
      <bottom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double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 style="thin"/>
      <bottom style="thin"/>
    </border>
    <border>
      <left style="double"/>
      <right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hair"/>
    </border>
    <border>
      <left/>
      <right/>
      <top style="double"/>
      <bottom style="hair"/>
    </border>
    <border>
      <left style="double"/>
      <right/>
      <top style="double"/>
      <bottom/>
    </border>
    <border>
      <left style="double"/>
      <right/>
      <top style="thin"/>
      <bottom/>
    </border>
    <border>
      <left style="medium"/>
      <right style="thin"/>
      <top/>
      <bottom style="double"/>
    </border>
    <border>
      <left style="medium"/>
      <right/>
      <top style="medium"/>
      <bottom/>
    </border>
    <border>
      <left/>
      <right style="thin"/>
      <top style="medium"/>
      <bottom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0" applyNumberFormat="0" applyBorder="0" applyAlignment="0" applyProtection="0"/>
    <xf numFmtId="0" fontId="92" fillId="27" borderId="1" applyNumberFormat="0" applyAlignment="0" applyProtection="0"/>
    <xf numFmtId="0" fontId="9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9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29" borderId="0" applyNumberFormat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30" borderId="1" applyNumberFormat="0" applyAlignment="0" applyProtection="0"/>
    <xf numFmtId="0" fontId="101" fillId="0" borderId="6" applyNumberFormat="0" applyFill="0" applyAlignment="0" applyProtection="0"/>
    <xf numFmtId="0" fontId="102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3" fillId="0" borderId="0" applyNumberFormat="0" applyBorder="0" applyProtection="0">
      <alignment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10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9" applyNumberFormat="0" applyFill="0" applyAlignment="0" applyProtection="0"/>
    <xf numFmtId="0" fontId="107" fillId="0" borderId="0" applyNumberFormat="0" applyFill="0" applyBorder="0" applyAlignment="0" applyProtection="0"/>
  </cellStyleXfs>
  <cellXfs count="1400">
    <xf numFmtId="0" fontId="0" fillId="0" borderId="0" xfId="0" applyFont="1" applyAlignment="1">
      <alignment/>
    </xf>
    <xf numFmtId="0" fontId="108" fillId="0" borderId="0" xfId="0" applyFont="1" applyAlignment="1">
      <alignment/>
    </xf>
    <xf numFmtId="0" fontId="108" fillId="0" borderId="0" xfId="0" applyFont="1" applyBorder="1" applyAlignment="1">
      <alignment/>
    </xf>
    <xf numFmtId="2" fontId="108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109" fillId="0" borderId="0" xfId="0" applyFont="1" applyAlignment="1">
      <alignment horizontal="center"/>
    </xf>
    <xf numFmtId="0" fontId="110" fillId="0" borderId="10" xfId="0" applyFont="1" applyBorder="1" applyAlignment="1">
      <alignment/>
    </xf>
    <xf numFmtId="0" fontId="110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right"/>
    </xf>
    <xf numFmtId="164" fontId="7" fillId="0" borderId="10" xfId="58" applyNumberFormat="1" applyFont="1" applyFill="1" applyBorder="1" applyAlignment="1">
      <alignment/>
    </xf>
    <xf numFmtId="3" fontId="110" fillId="0" borderId="10" xfId="0" applyNumberFormat="1" applyFont="1" applyBorder="1" applyAlignment="1">
      <alignment horizontal="right" vertical="center"/>
    </xf>
    <xf numFmtId="37" fontId="110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164" fontId="9" fillId="0" borderId="10" xfId="58" applyNumberFormat="1" applyFont="1" applyFill="1" applyBorder="1" applyAlignment="1">
      <alignment horizontal="right" vertical="center"/>
    </xf>
    <xf numFmtId="3" fontId="9" fillId="0" borderId="10" xfId="58" applyNumberFormat="1" applyFont="1" applyFill="1" applyBorder="1" applyAlignment="1">
      <alignment horizontal="right" vertical="center"/>
    </xf>
    <xf numFmtId="3" fontId="110" fillId="0" borderId="10" xfId="0" applyNumberFormat="1" applyFont="1" applyFill="1" applyBorder="1" applyAlignment="1">
      <alignment horizontal="right" vertical="center"/>
    </xf>
    <xf numFmtId="165" fontId="9" fillId="0" borderId="10" xfId="58" applyNumberFormat="1" applyFont="1" applyFill="1" applyBorder="1" applyAlignment="1">
      <alignment horizontal="right" vertical="center"/>
    </xf>
    <xf numFmtId="0" fontId="110" fillId="0" borderId="10" xfId="0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0" fontId="111" fillId="0" borderId="10" xfId="0" applyFont="1" applyBorder="1" applyAlignment="1">
      <alignment horizontal="center" vertical="center"/>
    </xf>
    <xf numFmtId="37" fontId="111" fillId="33" borderId="10" xfId="0" applyNumberFormat="1" applyFont="1" applyFill="1" applyBorder="1" applyAlignment="1">
      <alignment horizontal="right" vertical="center"/>
    </xf>
    <xf numFmtId="3" fontId="111" fillId="33" borderId="10" xfId="0" applyNumberFormat="1" applyFont="1" applyFill="1" applyBorder="1" applyAlignment="1">
      <alignment horizontal="right" vertical="center"/>
    </xf>
    <xf numFmtId="165" fontId="111" fillId="33" borderId="10" xfId="0" applyNumberFormat="1" applyFont="1" applyFill="1" applyBorder="1" applyAlignment="1">
      <alignment horizontal="right" vertical="center"/>
    </xf>
    <xf numFmtId="41" fontId="9" fillId="0" borderId="10" xfId="78" applyNumberFormat="1" applyFont="1" applyBorder="1" applyAlignment="1">
      <alignment horizontal="right" vertical="center"/>
      <protection/>
    </xf>
    <xf numFmtId="41" fontId="111" fillId="33" borderId="10" xfId="0" applyNumberFormat="1" applyFont="1" applyFill="1" applyBorder="1" applyAlignment="1">
      <alignment horizontal="right" vertical="center"/>
    </xf>
    <xf numFmtId="3" fontId="111" fillId="0" borderId="11" xfId="0" applyNumberFormat="1" applyFont="1" applyFill="1" applyBorder="1" applyAlignment="1">
      <alignment horizontal="right"/>
    </xf>
    <xf numFmtId="37" fontId="7" fillId="0" borderId="11" xfId="59" applyNumberFormat="1" applyFont="1" applyFill="1" applyBorder="1" applyAlignment="1">
      <alignment horizontal="center" vertical="center"/>
    </xf>
    <xf numFmtId="164" fontId="7" fillId="0" borderId="12" xfId="58" applyNumberFormat="1" applyFont="1" applyFill="1" applyBorder="1" applyAlignment="1">
      <alignment/>
    </xf>
    <xf numFmtId="164" fontId="7" fillId="0" borderId="12" xfId="0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/>
    </xf>
    <xf numFmtId="0" fontId="108" fillId="0" borderId="0" xfId="0" applyFont="1" applyFill="1" applyAlignment="1">
      <alignment/>
    </xf>
    <xf numFmtId="3" fontId="111" fillId="0" borderId="10" xfId="78" applyNumberFormat="1" applyFont="1" applyFill="1" applyBorder="1" applyAlignment="1">
      <alignment horizontal="right" vertical="center"/>
      <protection/>
    </xf>
    <xf numFmtId="165" fontId="111" fillId="0" borderId="10" xfId="59" applyNumberFormat="1" applyFont="1" applyFill="1" applyBorder="1" applyAlignment="1">
      <alignment horizontal="right" vertical="center"/>
    </xf>
    <xf numFmtId="3" fontId="110" fillId="0" borderId="0" xfId="0" applyNumberFormat="1" applyFont="1" applyFill="1" applyAlignment="1">
      <alignment/>
    </xf>
    <xf numFmtId="165" fontId="7" fillId="0" borderId="10" xfId="42" applyNumberFormat="1" applyFont="1" applyFill="1" applyBorder="1" applyAlignment="1">
      <alignment/>
    </xf>
    <xf numFmtId="3" fontId="111" fillId="0" borderId="10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3" fontId="2" fillId="0" borderId="1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0" fontId="108" fillId="33" borderId="0" xfId="0" applyFont="1" applyFill="1" applyAlignment="1">
      <alignment/>
    </xf>
    <xf numFmtId="3" fontId="111" fillId="34" borderId="23" xfId="0" applyNumberFormat="1" applyFont="1" applyFill="1" applyBorder="1" applyAlignment="1">
      <alignment horizontal="center" vertical="center"/>
    </xf>
    <xf numFmtId="3" fontId="111" fillId="0" borderId="10" xfId="0" applyNumberFormat="1" applyFont="1" applyBorder="1" applyAlignment="1">
      <alignment/>
    </xf>
    <xf numFmtId="0" fontId="111" fillId="0" borderId="10" xfId="0" applyFont="1" applyFill="1" applyBorder="1" applyAlignment="1">
      <alignment horizontal="right" vertical="center"/>
    </xf>
    <xf numFmtId="37" fontId="111" fillId="0" borderId="1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 horizontal="center"/>
    </xf>
    <xf numFmtId="3" fontId="2" fillId="0" borderId="14" xfId="0" applyNumberFormat="1" applyFont="1" applyFill="1" applyBorder="1" applyAlignment="1">
      <alignment/>
    </xf>
    <xf numFmtId="3" fontId="13" fillId="0" borderId="28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0" fontId="108" fillId="0" borderId="20" xfId="0" applyFont="1" applyFill="1" applyBorder="1" applyAlignment="1">
      <alignment horizontal="center"/>
    </xf>
    <xf numFmtId="165" fontId="109" fillId="0" borderId="0" xfId="0" applyNumberFormat="1" applyFont="1" applyFill="1" applyAlignment="1">
      <alignment/>
    </xf>
    <xf numFmtId="166" fontId="4" fillId="0" borderId="0" xfId="64" applyFont="1" applyAlignment="1">
      <alignment/>
    </xf>
    <xf numFmtId="166" fontId="4" fillId="0" borderId="0" xfId="64" applyFont="1" applyFill="1" applyAlignment="1">
      <alignment/>
    </xf>
    <xf numFmtId="169" fontId="108" fillId="33" borderId="0" xfId="0" applyNumberFormat="1" applyFont="1" applyFill="1" applyAlignment="1">
      <alignment/>
    </xf>
    <xf numFmtId="0" fontId="12" fillId="0" borderId="0" xfId="0" applyFont="1" applyBorder="1" applyAlignment="1">
      <alignment horizontal="left"/>
    </xf>
    <xf numFmtId="0" fontId="109" fillId="0" borderId="10" xfId="0" applyFont="1" applyBorder="1" applyAlignment="1">
      <alignment/>
    </xf>
    <xf numFmtId="0" fontId="109" fillId="0" borderId="10" xfId="0" applyFont="1" applyFill="1" applyBorder="1" applyAlignment="1">
      <alignment/>
    </xf>
    <xf numFmtId="3" fontId="110" fillId="0" borderId="10" xfId="58" applyNumberFormat="1" applyFont="1" applyFill="1" applyBorder="1" applyAlignment="1">
      <alignment horizontal="center"/>
    </xf>
    <xf numFmtId="3" fontId="110" fillId="0" borderId="10" xfId="0" applyNumberFormat="1" applyFont="1" applyFill="1" applyBorder="1" applyAlignment="1">
      <alignment horizontal="center"/>
    </xf>
    <xf numFmtId="3" fontId="110" fillId="0" borderId="10" xfId="0" applyNumberFormat="1" applyFont="1" applyBorder="1" applyAlignment="1">
      <alignment horizontal="center"/>
    </xf>
    <xf numFmtId="3" fontId="8" fillId="0" borderId="10" xfId="58" applyNumberFormat="1" applyFont="1" applyFill="1" applyBorder="1" applyAlignment="1">
      <alignment horizontal="center" vertical="center"/>
    </xf>
    <xf numFmtId="37" fontId="110" fillId="0" borderId="10" xfId="0" applyNumberFormat="1" applyFont="1" applyBorder="1" applyAlignment="1">
      <alignment horizontal="center"/>
    </xf>
    <xf numFmtId="3" fontId="110" fillId="0" borderId="10" xfId="0" applyNumberFormat="1" applyFont="1" applyBorder="1" applyAlignment="1">
      <alignment horizontal="center" vertical="center"/>
    </xf>
    <xf numFmtId="3" fontId="9" fillId="0" borderId="10" xfId="58" applyNumberFormat="1" applyFont="1" applyFill="1" applyBorder="1" applyAlignment="1">
      <alignment horizontal="center"/>
    </xf>
    <xf numFmtId="37" fontId="110" fillId="0" borderId="10" xfId="0" applyNumberFormat="1" applyFont="1" applyFill="1" applyBorder="1" applyAlignment="1">
      <alignment horizontal="center"/>
    </xf>
    <xf numFmtId="3" fontId="111" fillId="0" borderId="11" xfId="0" applyNumberFormat="1" applyFont="1" applyFill="1" applyBorder="1" applyAlignment="1">
      <alignment horizontal="center"/>
    </xf>
    <xf numFmtId="165" fontId="108" fillId="0" borderId="11" xfId="0" applyNumberFormat="1" applyFont="1" applyBorder="1" applyAlignment="1">
      <alignment/>
    </xf>
    <xf numFmtId="3" fontId="111" fillId="0" borderId="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/>
    </xf>
    <xf numFmtId="0" fontId="111" fillId="0" borderId="10" xfId="0" applyFont="1" applyBorder="1" applyAlignment="1">
      <alignment horizontal="center"/>
    </xf>
    <xf numFmtId="0" fontId="9" fillId="0" borderId="33" xfId="0" applyFont="1" applyBorder="1" applyAlignment="1">
      <alignment horizontal="center" vertical="center" textRotation="90"/>
    </xf>
    <xf numFmtId="0" fontId="9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9" fillId="0" borderId="34" xfId="0" applyFont="1" applyBorder="1" applyAlignment="1">
      <alignment/>
    </xf>
    <xf numFmtId="175" fontId="6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/>
    </xf>
    <xf numFmtId="0" fontId="112" fillId="0" borderId="10" xfId="86" applyFont="1" applyBorder="1" applyAlignment="1">
      <alignment horizontal="left" vertical="center"/>
      <protection/>
    </xf>
    <xf numFmtId="3" fontId="113" fillId="0" borderId="10" xfId="0" applyNumberFormat="1" applyFont="1" applyBorder="1" applyAlignment="1">
      <alignment/>
    </xf>
    <xf numFmtId="3" fontId="112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NumberFormat="1" applyFont="1" applyFill="1" applyBorder="1" applyAlignment="1" applyProtection="1">
      <alignment/>
      <protection/>
    </xf>
    <xf numFmtId="0" fontId="6" fillId="0" borderId="33" xfId="0" applyFont="1" applyBorder="1" applyAlignment="1">
      <alignment horizontal="center" vertical="center" textRotation="90"/>
    </xf>
    <xf numFmtId="3" fontId="6" fillId="0" borderId="34" xfId="0" applyNumberFormat="1" applyFont="1" applyBorder="1" applyAlignment="1">
      <alignment horizontal="center" vertical="center" textRotation="90"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3" fontId="9" fillId="0" borderId="21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9" fillId="0" borderId="16" xfId="0" applyNumberFormat="1" applyFont="1" applyBorder="1" applyAlignment="1">
      <alignment/>
    </xf>
    <xf numFmtId="0" fontId="6" fillId="33" borderId="10" xfId="0" applyNumberFormat="1" applyFont="1" applyFill="1" applyBorder="1" applyAlignment="1" applyProtection="1">
      <alignment/>
      <protection/>
    </xf>
    <xf numFmtId="3" fontId="9" fillId="33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0" fontId="18" fillId="0" borderId="10" xfId="0" applyNumberFormat="1" applyFont="1" applyFill="1" applyBorder="1" applyAlignment="1" applyProtection="1">
      <alignment horizontal="right"/>
      <protection/>
    </xf>
    <xf numFmtId="0" fontId="9" fillId="0" borderId="35" xfId="0" applyFont="1" applyBorder="1" applyAlignment="1">
      <alignment horizontal="center" vertical="center" textRotation="90"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111" fillId="0" borderId="0" xfId="0" applyFont="1" applyAlignment="1">
      <alignment/>
    </xf>
    <xf numFmtId="0" fontId="111" fillId="0" borderId="25" xfId="0" applyFont="1" applyBorder="1" applyAlignment="1">
      <alignment horizontal="center" vertical="center"/>
    </xf>
    <xf numFmtId="0" fontId="111" fillId="0" borderId="23" xfId="0" applyFont="1" applyBorder="1" applyAlignment="1">
      <alignment horizontal="center" vertical="center"/>
    </xf>
    <xf numFmtId="0" fontId="111" fillId="0" borderId="0" xfId="0" applyFont="1" applyAlignment="1">
      <alignment horizontal="center" vertical="center"/>
    </xf>
    <xf numFmtId="0" fontId="6" fillId="0" borderId="17" xfId="0" applyFont="1" applyBorder="1" applyAlignment="1">
      <alignment vertical="center"/>
    </xf>
    <xf numFmtId="3" fontId="6" fillId="0" borderId="38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6" fillId="0" borderId="39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9" xfId="0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0" fontId="6" fillId="32" borderId="19" xfId="0" applyFont="1" applyFill="1" applyBorder="1" applyAlignment="1">
      <alignment vertical="center"/>
    </xf>
    <xf numFmtId="3" fontId="6" fillId="32" borderId="38" xfId="0" applyNumberFormat="1" applyFont="1" applyFill="1" applyBorder="1" applyAlignment="1">
      <alignment vertical="center"/>
    </xf>
    <xf numFmtId="3" fontId="6" fillId="32" borderId="10" xfId="0" applyNumberFormat="1" applyFont="1" applyFill="1" applyBorder="1" applyAlignment="1">
      <alignment vertical="center"/>
    </xf>
    <xf numFmtId="3" fontId="6" fillId="32" borderId="16" xfId="0" applyNumberFormat="1" applyFont="1" applyFill="1" applyBorder="1" applyAlignment="1">
      <alignment vertical="center"/>
    </xf>
    <xf numFmtId="3" fontId="6" fillId="32" borderId="15" xfId="0" applyNumberFormat="1" applyFont="1" applyFill="1" applyBorder="1" applyAlignment="1">
      <alignment vertical="center"/>
    </xf>
    <xf numFmtId="3" fontId="6" fillId="32" borderId="39" xfId="0" applyNumberFormat="1" applyFont="1" applyFill="1" applyBorder="1" applyAlignment="1">
      <alignment vertical="center"/>
    </xf>
    <xf numFmtId="3" fontId="6" fillId="32" borderId="20" xfId="0" applyNumberFormat="1" applyFont="1" applyFill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6" fillId="32" borderId="28" xfId="0" applyNumberFormat="1" applyFont="1" applyFill="1" applyBorder="1" applyAlignment="1">
      <alignment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6" fillId="32" borderId="31" xfId="0" applyFont="1" applyFill="1" applyBorder="1" applyAlignment="1">
      <alignment vertical="center"/>
    </xf>
    <xf numFmtId="3" fontId="6" fillId="32" borderId="30" xfId="0" applyNumberFormat="1" applyFont="1" applyFill="1" applyBorder="1" applyAlignment="1">
      <alignment vertical="center"/>
    </xf>
    <xf numFmtId="3" fontId="6" fillId="32" borderId="12" xfId="0" applyNumberFormat="1" applyFont="1" applyFill="1" applyBorder="1" applyAlignment="1">
      <alignment vertical="center"/>
    </xf>
    <xf numFmtId="3" fontId="6" fillId="32" borderId="31" xfId="0" applyNumberFormat="1" applyFont="1" applyFill="1" applyBorder="1" applyAlignment="1">
      <alignment vertical="center"/>
    </xf>
    <xf numFmtId="3" fontId="6" fillId="32" borderId="40" xfId="0" applyNumberFormat="1" applyFont="1" applyFill="1" applyBorder="1" applyAlignment="1">
      <alignment vertical="center"/>
    </xf>
    <xf numFmtId="0" fontId="6" fillId="0" borderId="41" xfId="0" applyFont="1" applyFill="1" applyBorder="1" applyAlignment="1">
      <alignment horizontal="center" vertical="center"/>
    </xf>
    <xf numFmtId="0" fontId="111" fillId="0" borderId="42" xfId="0" applyFont="1" applyFill="1" applyBorder="1" applyAlignment="1">
      <alignment horizontal="center" vertical="center"/>
    </xf>
    <xf numFmtId="0" fontId="111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45" xfId="0" applyNumberFormat="1" applyFont="1" applyBorder="1" applyAlignment="1">
      <alignment vertical="center"/>
    </xf>
    <xf numFmtId="3" fontId="6" fillId="0" borderId="46" xfId="0" applyNumberFormat="1" applyFont="1" applyBorder="1" applyAlignment="1">
      <alignment vertical="center"/>
    </xf>
    <xf numFmtId="3" fontId="6" fillId="0" borderId="47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3" fontId="6" fillId="32" borderId="17" xfId="0" applyNumberFormat="1" applyFont="1" applyFill="1" applyBorder="1" applyAlignment="1">
      <alignment vertical="center"/>
    </xf>
    <xf numFmtId="3" fontId="6" fillId="32" borderId="19" xfId="0" applyNumberFormat="1" applyFont="1" applyFill="1" applyBorder="1" applyAlignment="1">
      <alignment vertical="center"/>
    </xf>
    <xf numFmtId="3" fontId="6" fillId="0" borderId="16" xfId="0" applyNumberFormat="1" applyFont="1" applyBorder="1" applyAlignment="1">
      <alignment horizontal="center" vertical="center"/>
    </xf>
    <xf numFmtId="3" fontId="6" fillId="32" borderId="48" xfId="0" applyNumberFormat="1" applyFont="1" applyFill="1" applyBorder="1" applyAlignment="1">
      <alignment vertical="center"/>
    </xf>
    <xf numFmtId="3" fontId="6" fillId="32" borderId="36" xfId="0" applyNumberFormat="1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" fontId="6" fillId="0" borderId="18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3" fontId="6" fillId="0" borderId="51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32" borderId="13" xfId="0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53" xfId="0" applyNumberFormat="1" applyFont="1" applyBorder="1" applyAlignment="1">
      <alignment vertical="center"/>
    </xf>
    <xf numFmtId="0" fontId="6" fillId="32" borderId="11" xfId="0" applyFont="1" applyFill="1" applyBorder="1" applyAlignment="1">
      <alignment vertical="center"/>
    </xf>
    <xf numFmtId="3" fontId="6" fillId="32" borderId="54" xfId="0" applyNumberFormat="1" applyFont="1" applyFill="1" applyBorder="1" applyAlignment="1">
      <alignment vertical="center"/>
    </xf>
    <xf numFmtId="3" fontId="6" fillId="32" borderId="55" xfId="0" applyNumberFormat="1" applyFont="1" applyFill="1" applyBorder="1" applyAlignment="1">
      <alignment vertical="center"/>
    </xf>
    <xf numFmtId="0" fontId="6" fillId="0" borderId="56" xfId="0" applyFont="1" applyFill="1" applyBorder="1" applyAlignment="1">
      <alignment vertical="center"/>
    </xf>
    <xf numFmtId="3" fontId="6" fillId="0" borderId="53" xfId="0" applyNumberFormat="1" applyFont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32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59" xfId="0" applyNumberFormat="1" applyFont="1" applyBorder="1" applyAlignment="1">
      <alignment vertical="center"/>
    </xf>
    <xf numFmtId="3" fontId="6" fillId="0" borderId="49" xfId="0" applyNumberFormat="1" applyFont="1" applyBorder="1" applyAlignment="1">
      <alignment vertical="center"/>
    </xf>
    <xf numFmtId="3" fontId="6" fillId="32" borderId="51" xfId="0" applyNumberFormat="1" applyFont="1" applyFill="1" applyBorder="1" applyAlignment="1">
      <alignment vertical="center"/>
    </xf>
    <xf numFmtId="3" fontId="6" fillId="32" borderId="42" xfId="0" applyNumberFormat="1" applyFont="1" applyFill="1" applyBorder="1" applyAlignment="1">
      <alignment vertical="center"/>
    </xf>
    <xf numFmtId="3" fontId="6" fillId="32" borderId="21" xfId="0" applyNumberFormat="1" applyFont="1" applyFill="1" applyBorder="1" applyAlignment="1">
      <alignment vertical="center"/>
    </xf>
    <xf numFmtId="3" fontId="6" fillId="0" borderId="42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32" borderId="60" xfId="0" applyNumberFormat="1" applyFont="1" applyFill="1" applyBorder="1" applyAlignment="1">
      <alignment vertical="center"/>
    </xf>
    <xf numFmtId="3" fontId="111" fillId="0" borderId="0" xfId="0" applyNumberFormat="1" applyFont="1" applyAlignment="1">
      <alignment/>
    </xf>
    <xf numFmtId="0" fontId="114" fillId="0" borderId="0" xfId="0" applyFont="1" applyAlignment="1">
      <alignment/>
    </xf>
    <xf numFmtId="0" fontId="109" fillId="0" borderId="10" xfId="0" applyFont="1" applyBorder="1" applyAlignment="1">
      <alignment vertical="center"/>
    </xf>
    <xf numFmtId="0" fontId="109" fillId="0" borderId="10" xfId="0" applyFont="1" applyBorder="1" applyAlignment="1">
      <alignment horizontal="left" vertical="center"/>
    </xf>
    <xf numFmtId="174" fontId="115" fillId="35" borderId="10" xfId="0" applyNumberFormat="1" applyFont="1" applyFill="1" applyBorder="1" applyAlignment="1">
      <alignment horizontal="center" vertical="center" wrapText="1"/>
    </xf>
    <xf numFmtId="0" fontId="110" fillId="0" borderId="0" xfId="0" applyFont="1" applyAlignment="1">
      <alignment/>
    </xf>
    <xf numFmtId="0" fontId="7" fillId="0" borderId="0" xfId="0" applyFont="1" applyAlignment="1">
      <alignment/>
    </xf>
    <xf numFmtId="0" fontId="110" fillId="0" borderId="33" xfId="0" applyFont="1" applyBorder="1" applyAlignment="1">
      <alignment/>
    </xf>
    <xf numFmtId="3" fontId="110" fillId="0" borderId="0" xfId="0" applyNumberFormat="1" applyFont="1" applyAlignment="1">
      <alignment/>
    </xf>
    <xf numFmtId="0" fontId="21" fillId="0" borderId="61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21" fillId="0" borderId="62" xfId="0" applyFont="1" applyBorder="1" applyAlignment="1">
      <alignment horizontal="center" vertical="center" wrapText="1"/>
    </xf>
    <xf numFmtId="0" fontId="108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3" fontId="3" fillId="0" borderId="38" xfId="0" applyNumberFormat="1" applyFont="1" applyFill="1" applyBorder="1" applyAlignment="1">
      <alignment horizontal="center"/>
    </xf>
    <xf numFmtId="3" fontId="3" fillId="0" borderId="65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3" fontId="3" fillId="33" borderId="38" xfId="0" applyNumberFormat="1" applyFont="1" applyFill="1" applyBorder="1" applyAlignment="1">
      <alignment horizontal="center"/>
    </xf>
    <xf numFmtId="3" fontId="3" fillId="0" borderId="61" xfId="0" applyNumberFormat="1" applyFont="1" applyFill="1" applyBorder="1" applyAlignment="1">
      <alignment horizontal="center"/>
    </xf>
    <xf numFmtId="3" fontId="3" fillId="0" borderId="39" xfId="0" applyNumberFormat="1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3" fillId="0" borderId="66" xfId="0" applyFont="1" applyBorder="1" applyAlignment="1">
      <alignment horizontal="center"/>
    </xf>
    <xf numFmtId="3" fontId="22" fillId="0" borderId="65" xfId="0" applyNumberFormat="1" applyFont="1" applyFill="1" applyBorder="1" applyAlignment="1">
      <alignment horizontal="center"/>
    </xf>
    <xf numFmtId="3" fontId="22" fillId="0" borderId="17" xfId="0" applyNumberFormat="1" applyFont="1" applyFill="1" applyBorder="1" applyAlignment="1">
      <alignment horizontal="center"/>
    </xf>
    <xf numFmtId="3" fontId="22" fillId="0" borderId="38" xfId="0" applyNumberFormat="1" applyFont="1" applyFill="1" applyBorder="1" applyAlignment="1">
      <alignment horizontal="center"/>
    </xf>
    <xf numFmtId="3" fontId="22" fillId="0" borderId="15" xfId="0" applyNumberFormat="1" applyFont="1" applyFill="1" applyBorder="1" applyAlignment="1">
      <alignment horizontal="center"/>
    </xf>
    <xf numFmtId="3" fontId="22" fillId="0" borderId="39" xfId="0" applyNumberFormat="1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 vertical="center" wrapText="1"/>
    </xf>
    <xf numFmtId="3" fontId="22" fillId="33" borderId="38" xfId="0" applyNumberFormat="1" applyFont="1" applyFill="1" applyBorder="1" applyAlignment="1">
      <alignment horizontal="center"/>
    </xf>
    <xf numFmtId="0" fontId="108" fillId="0" borderId="66" xfId="0" applyFont="1" applyFill="1" applyBorder="1" applyAlignment="1">
      <alignment horizontal="center" vertical="center" wrapText="1"/>
    </xf>
    <xf numFmtId="0" fontId="108" fillId="0" borderId="66" xfId="0" applyFont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/>
    </xf>
    <xf numFmtId="0" fontId="3" fillId="36" borderId="67" xfId="0" applyFont="1" applyFill="1" applyBorder="1" applyAlignment="1">
      <alignment horizontal="center"/>
    </xf>
    <xf numFmtId="3" fontId="3" fillId="36" borderId="30" xfId="0" applyNumberFormat="1" applyFont="1" applyFill="1" applyBorder="1" applyAlignment="1">
      <alignment horizontal="center"/>
    </xf>
    <xf numFmtId="3" fontId="3" fillId="36" borderId="13" xfId="0" applyNumberFormat="1" applyFont="1" applyFill="1" applyBorder="1" applyAlignment="1">
      <alignment horizontal="center"/>
    </xf>
    <xf numFmtId="3" fontId="3" fillId="36" borderId="67" xfId="0" applyNumberFormat="1" applyFont="1" applyFill="1" applyBorder="1" applyAlignment="1">
      <alignment horizontal="center"/>
    </xf>
    <xf numFmtId="3" fontId="3" fillId="36" borderId="4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108" fillId="0" borderId="10" xfId="0" applyFont="1" applyBorder="1" applyAlignment="1">
      <alignment/>
    </xf>
    <xf numFmtId="0" fontId="3" fillId="0" borderId="68" xfId="0" applyFont="1" applyBorder="1" applyAlignment="1">
      <alignment/>
    </xf>
    <xf numFmtId="171" fontId="3" fillId="0" borderId="0" xfId="0" applyNumberFormat="1" applyFont="1" applyAlignment="1">
      <alignment/>
    </xf>
    <xf numFmtId="0" fontId="108" fillId="0" borderId="69" xfId="0" applyFont="1" applyBorder="1" applyAlignment="1">
      <alignment/>
    </xf>
    <xf numFmtId="0" fontId="3" fillId="0" borderId="69" xfId="0" applyFont="1" applyBorder="1" applyAlignment="1">
      <alignment horizontal="center"/>
    </xf>
    <xf numFmtId="0" fontId="116" fillId="0" borderId="0" xfId="0" applyFont="1" applyAlignment="1">
      <alignment horizontal="center"/>
    </xf>
    <xf numFmtId="0" fontId="111" fillId="0" borderId="10" xfId="0" applyFont="1" applyBorder="1" applyAlignment="1">
      <alignment horizontal="center" vertical="center" wrapText="1"/>
    </xf>
    <xf numFmtId="3" fontId="108" fillId="0" borderId="10" xfId="0" applyNumberFormat="1" applyFont="1" applyBorder="1" applyAlignment="1">
      <alignment/>
    </xf>
    <xf numFmtId="0" fontId="108" fillId="0" borderId="16" xfId="0" applyFont="1" applyFill="1" applyBorder="1" applyAlignment="1">
      <alignment/>
    </xf>
    <xf numFmtId="3" fontId="3" fillId="0" borderId="70" xfId="0" applyNumberFormat="1" applyFont="1" applyFill="1" applyBorder="1" applyAlignment="1">
      <alignment/>
    </xf>
    <xf numFmtId="170" fontId="3" fillId="0" borderId="0" xfId="0" applyNumberFormat="1" applyFont="1" applyAlignment="1">
      <alignment/>
    </xf>
    <xf numFmtId="0" fontId="116" fillId="0" borderId="0" xfId="0" applyFont="1" applyAlignment="1">
      <alignment/>
    </xf>
    <xf numFmtId="172" fontId="116" fillId="0" borderId="0" xfId="0" applyNumberFormat="1" applyFont="1" applyAlignment="1">
      <alignment/>
    </xf>
    <xf numFmtId="0" fontId="108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171" fontId="116" fillId="0" borderId="0" xfId="0" applyNumberFormat="1" applyFont="1" applyAlignment="1">
      <alignment/>
    </xf>
    <xf numFmtId="3" fontId="3" fillId="0" borderId="42" xfId="0" applyNumberFormat="1" applyFont="1" applyFill="1" applyBorder="1" applyAlignment="1">
      <alignment/>
    </xf>
    <xf numFmtId="4" fontId="116" fillId="0" borderId="0" xfId="0" applyNumberFormat="1" applyFont="1" applyAlignment="1">
      <alignment/>
    </xf>
    <xf numFmtId="3" fontId="3" fillId="0" borderId="21" xfId="0" applyNumberFormat="1" applyFont="1" applyFill="1" applyBorder="1" applyAlignment="1">
      <alignment/>
    </xf>
    <xf numFmtId="0" fontId="108" fillId="0" borderId="10" xfId="0" applyFont="1" applyBorder="1" applyAlignment="1">
      <alignment horizontal="center"/>
    </xf>
    <xf numFmtId="3" fontId="111" fillId="0" borderId="10" xfId="0" applyNumberFormat="1" applyFont="1" applyBorder="1" applyAlignment="1">
      <alignment horizontal="right" vertical="center"/>
    </xf>
    <xf numFmtId="0" fontId="109" fillId="0" borderId="0" xfId="0" applyFont="1" applyAlignment="1">
      <alignment/>
    </xf>
    <xf numFmtId="3" fontId="3" fillId="0" borderId="16" xfId="0" applyNumberFormat="1" applyFont="1" applyFill="1" applyBorder="1" applyAlignment="1">
      <alignment/>
    </xf>
    <xf numFmtId="3" fontId="108" fillId="0" borderId="0" xfId="0" applyNumberFormat="1" applyFont="1" applyAlignment="1">
      <alignment/>
    </xf>
    <xf numFmtId="3" fontId="117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1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36" borderId="12" xfId="0" applyFont="1" applyFill="1" applyBorder="1" applyAlignment="1">
      <alignment horizontal="center"/>
    </xf>
    <xf numFmtId="3" fontId="3" fillId="36" borderId="60" xfId="0" applyNumberFormat="1" applyFont="1" applyFill="1" applyBorder="1" applyAlignment="1">
      <alignment horizontal="center"/>
    </xf>
    <xf numFmtId="0" fontId="111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10" fillId="0" borderId="0" xfId="0" applyFont="1" applyBorder="1" applyAlignment="1">
      <alignment/>
    </xf>
    <xf numFmtId="0" fontId="118" fillId="0" borderId="46" xfId="0" applyFont="1" applyBorder="1" applyAlignment="1">
      <alignment horizontal="left" vertical="center"/>
    </xf>
    <xf numFmtId="3" fontId="118" fillId="0" borderId="47" xfId="0" applyNumberFormat="1" applyFont="1" applyBorder="1" applyAlignment="1">
      <alignment horizontal="right" vertical="center"/>
    </xf>
    <xf numFmtId="0" fontId="118" fillId="0" borderId="45" xfId="0" applyFont="1" applyFill="1" applyBorder="1" applyAlignment="1">
      <alignment horizontal="center" vertical="center"/>
    </xf>
    <xf numFmtId="0" fontId="118" fillId="0" borderId="46" xfId="0" applyFont="1" applyFill="1" applyBorder="1" applyAlignment="1">
      <alignment horizontal="center" vertical="center"/>
    </xf>
    <xf numFmtId="0" fontId="118" fillId="4" borderId="46" xfId="0" applyFont="1" applyFill="1" applyBorder="1" applyAlignment="1">
      <alignment horizontal="center" vertical="center"/>
    </xf>
    <xf numFmtId="0" fontId="118" fillId="4" borderId="49" xfId="0" applyFont="1" applyFill="1" applyBorder="1" applyAlignment="1">
      <alignment horizontal="center" vertical="center"/>
    </xf>
    <xf numFmtId="0" fontId="118" fillId="0" borderId="53" xfId="0" applyFont="1" applyFill="1" applyBorder="1" applyAlignment="1">
      <alignment horizontal="center" vertical="center"/>
    </xf>
    <xf numFmtId="0" fontId="118" fillId="4" borderId="47" xfId="0" applyFont="1" applyFill="1" applyBorder="1" applyAlignment="1">
      <alignment horizontal="center" vertical="center"/>
    </xf>
    <xf numFmtId="0" fontId="118" fillId="0" borderId="10" xfId="0" applyFont="1" applyBorder="1" applyAlignment="1">
      <alignment horizontal="left" vertical="center"/>
    </xf>
    <xf numFmtId="3" fontId="118" fillId="0" borderId="19" xfId="0" applyNumberFormat="1" applyFont="1" applyBorder="1" applyAlignment="1">
      <alignment horizontal="right" vertical="center"/>
    </xf>
    <xf numFmtId="0" fontId="118" fillId="0" borderId="20" xfId="0" applyFont="1" applyFill="1" applyBorder="1" applyAlignment="1">
      <alignment horizontal="center" vertical="center"/>
    </xf>
    <xf numFmtId="0" fontId="118" fillId="0" borderId="10" xfId="0" applyFont="1" applyFill="1" applyBorder="1" applyAlignment="1">
      <alignment horizontal="center" vertical="center"/>
    </xf>
    <xf numFmtId="0" fontId="118" fillId="4" borderId="10" xfId="0" applyFont="1" applyFill="1" applyBorder="1" applyAlignment="1">
      <alignment horizontal="center" vertical="center"/>
    </xf>
    <xf numFmtId="0" fontId="118" fillId="4" borderId="11" xfId="0" applyFont="1" applyFill="1" applyBorder="1" applyAlignment="1">
      <alignment horizontal="center" vertical="center"/>
    </xf>
    <xf numFmtId="0" fontId="118" fillId="0" borderId="12" xfId="0" applyFont="1" applyBorder="1" applyAlignment="1">
      <alignment horizontal="left" vertical="center"/>
    </xf>
    <xf numFmtId="3" fontId="118" fillId="0" borderId="31" xfId="0" applyNumberFormat="1" applyFont="1" applyBorder="1" applyAlignment="1">
      <alignment horizontal="right" vertical="center"/>
    </xf>
    <xf numFmtId="0" fontId="118" fillId="0" borderId="30" xfId="0" applyFont="1" applyFill="1" applyBorder="1" applyAlignment="1">
      <alignment horizontal="center" vertical="center"/>
    </xf>
    <xf numFmtId="0" fontId="118" fillId="0" borderId="12" xfId="0" applyFont="1" applyFill="1" applyBorder="1" applyAlignment="1">
      <alignment horizontal="center" vertical="center"/>
    </xf>
    <xf numFmtId="0" fontId="118" fillId="4" borderId="12" xfId="0" applyFont="1" applyFill="1" applyBorder="1" applyAlignment="1">
      <alignment horizontal="center" vertical="center"/>
    </xf>
    <xf numFmtId="0" fontId="118" fillId="4" borderId="13" xfId="0" applyFont="1" applyFill="1" applyBorder="1" applyAlignment="1">
      <alignment horizontal="center" vertical="center"/>
    </xf>
    <xf numFmtId="0" fontId="118" fillId="0" borderId="60" xfId="0" applyFont="1" applyFill="1" applyBorder="1" applyAlignment="1">
      <alignment horizontal="center" vertical="center"/>
    </xf>
    <xf numFmtId="0" fontId="118" fillId="4" borderId="31" xfId="0" applyFont="1" applyFill="1" applyBorder="1" applyAlignment="1">
      <alignment horizontal="center" vertical="center"/>
    </xf>
    <xf numFmtId="0" fontId="108" fillId="0" borderId="41" xfId="0" applyFont="1" applyBorder="1" applyAlignment="1">
      <alignment vertical="center"/>
    </xf>
    <xf numFmtId="0" fontId="108" fillId="0" borderId="42" xfId="0" applyFont="1" applyBorder="1" applyAlignment="1">
      <alignment horizontal="left" vertical="center"/>
    </xf>
    <xf numFmtId="0" fontId="108" fillId="0" borderId="44" xfId="0" applyFont="1" applyBorder="1" applyAlignment="1">
      <alignment horizontal="right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17" fillId="4" borderId="42" xfId="0" applyFont="1" applyFill="1" applyBorder="1" applyAlignment="1">
      <alignment horizontal="center" vertical="center"/>
    </xf>
    <xf numFmtId="0" fontId="117" fillId="4" borderId="52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17" fillId="4" borderId="44" xfId="0" applyFont="1" applyFill="1" applyBorder="1" applyAlignment="1">
      <alignment horizontal="center" vertical="center"/>
    </xf>
    <xf numFmtId="0" fontId="108" fillId="0" borderId="58" xfId="0" applyFont="1" applyBorder="1" applyAlignment="1">
      <alignment horizontal="left" vertical="center"/>
    </xf>
    <xf numFmtId="0" fontId="108" fillId="0" borderId="71" xfId="0" applyFont="1" applyBorder="1" applyAlignment="1">
      <alignment horizontal="right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17" fillId="4" borderId="58" xfId="0" applyFont="1" applyFill="1" applyBorder="1" applyAlignment="1">
      <alignment horizontal="center" vertical="center"/>
    </xf>
    <xf numFmtId="0" fontId="117" fillId="4" borderId="43" xfId="0" applyFont="1" applyFill="1" applyBorder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17" fillId="4" borderId="71" xfId="0" applyFont="1" applyFill="1" applyBorder="1" applyAlignment="1">
      <alignment horizontal="center" vertical="center"/>
    </xf>
    <xf numFmtId="0" fontId="108" fillId="0" borderId="46" xfId="0" applyFont="1" applyBorder="1" applyAlignment="1">
      <alignment horizontal="left" vertical="center"/>
    </xf>
    <xf numFmtId="0" fontId="108" fillId="0" borderId="47" xfId="0" applyFont="1" applyBorder="1" applyAlignment="1">
      <alignment horizontal="right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2" fontId="117" fillId="4" borderId="46" xfId="0" applyNumberFormat="1" applyFont="1" applyFill="1" applyBorder="1" applyAlignment="1">
      <alignment horizontal="center" vertical="center"/>
    </xf>
    <xf numFmtId="0" fontId="117" fillId="4" borderId="49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17" fillId="4" borderId="46" xfId="0" applyFont="1" applyFill="1" applyBorder="1" applyAlignment="1">
      <alignment horizontal="center" vertical="center"/>
    </xf>
    <xf numFmtId="0" fontId="117" fillId="4" borderId="47" xfId="0" applyFont="1" applyFill="1" applyBorder="1" applyAlignment="1">
      <alignment horizontal="center" vertical="center"/>
    </xf>
    <xf numFmtId="0" fontId="108" fillId="0" borderId="10" xfId="0" applyFont="1" applyBorder="1" applyAlignment="1">
      <alignment horizontal="left" vertical="center"/>
    </xf>
    <xf numFmtId="0" fontId="108" fillId="0" borderId="19" xfId="0" applyFont="1" applyBorder="1" applyAlignment="1">
      <alignment horizontal="right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17" fillId="4" borderId="10" xfId="0" applyFont="1" applyFill="1" applyBorder="1" applyAlignment="1">
      <alignment horizontal="center" vertical="center"/>
    </xf>
    <xf numFmtId="0" fontId="117" fillId="4" borderId="1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17" fillId="4" borderId="19" xfId="0" applyFont="1" applyFill="1" applyBorder="1" applyAlignment="1">
      <alignment horizontal="center" vertical="center"/>
    </xf>
    <xf numFmtId="0" fontId="108" fillId="0" borderId="12" xfId="0" applyFont="1" applyBorder="1" applyAlignment="1">
      <alignment horizontal="left" vertical="center"/>
    </xf>
    <xf numFmtId="0" fontId="108" fillId="0" borderId="31" xfId="0" applyFont="1" applyBorder="1" applyAlignment="1">
      <alignment horizontal="right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2" fontId="117" fillId="4" borderId="12" xfId="0" applyNumberFormat="1" applyFont="1" applyFill="1" applyBorder="1" applyAlignment="1">
      <alignment horizontal="center" vertical="center"/>
    </xf>
    <xf numFmtId="2" fontId="117" fillId="4" borderId="13" xfId="0" applyNumberFormat="1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/>
    </xf>
    <xf numFmtId="0" fontId="117" fillId="4" borderId="12" xfId="0" applyFont="1" applyFill="1" applyBorder="1" applyAlignment="1">
      <alignment horizontal="center" vertical="center"/>
    </xf>
    <xf numFmtId="0" fontId="117" fillId="4" borderId="31" xfId="0" applyFont="1" applyFill="1" applyBorder="1" applyAlignment="1">
      <alignment horizontal="center" vertical="center"/>
    </xf>
    <xf numFmtId="0" fontId="117" fillId="4" borderId="13" xfId="0" applyFont="1" applyFill="1" applyBorder="1" applyAlignment="1">
      <alignment horizontal="center" vertical="center"/>
    </xf>
    <xf numFmtId="0" fontId="108" fillId="0" borderId="46" xfId="0" applyFont="1" applyFill="1" applyBorder="1" applyAlignment="1">
      <alignment horizontal="center" vertical="center"/>
    </xf>
    <xf numFmtId="0" fontId="108" fillId="0" borderId="47" xfId="0" applyFont="1" applyFill="1" applyBorder="1" applyAlignment="1">
      <alignment horizontal="right" vertical="center"/>
    </xf>
    <xf numFmtId="2" fontId="117" fillId="4" borderId="49" xfId="0" applyNumberFormat="1" applyFont="1" applyFill="1" applyBorder="1" applyAlignment="1">
      <alignment horizontal="center" vertical="center"/>
    </xf>
    <xf numFmtId="0" fontId="108" fillId="0" borderId="10" xfId="0" applyFont="1" applyFill="1" applyBorder="1" applyAlignment="1">
      <alignment horizontal="center" vertical="center"/>
    </xf>
    <xf numFmtId="0" fontId="108" fillId="0" borderId="19" xfId="0" applyFont="1" applyFill="1" applyBorder="1" applyAlignment="1">
      <alignment horizontal="right" vertical="center"/>
    </xf>
    <xf numFmtId="0" fontId="108" fillId="0" borderId="12" xfId="0" applyFont="1" applyFill="1" applyBorder="1" applyAlignment="1">
      <alignment horizontal="center" vertical="center"/>
    </xf>
    <xf numFmtId="0" fontId="108" fillId="0" borderId="31" xfId="0" applyFont="1" applyFill="1" applyBorder="1" applyAlignment="1">
      <alignment horizontal="right" vertical="center"/>
    </xf>
    <xf numFmtId="0" fontId="108" fillId="0" borderId="25" xfId="0" applyFont="1" applyBorder="1" applyAlignment="1">
      <alignment horizontal="left" vertical="center"/>
    </xf>
    <xf numFmtId="0" fontId="108" fillId="0" borderId="71" xfId="0" applyFont="1" applyFill="1" applyBorder="1" applyAlignment="1">
      <alignment horizontal="right" vertical="center"/>
    </xf>
    <xf numFmtId="0" fontId="108" fillId="0" borderId="25" xfId="0" applyFont="1" applyFill="1" applyBorder="1" applyAlignment="1">
      <alignment vertical="center"/>
    </xf>
    <xf numFmtId="0" fontId="108" fillId="0" borderId="58" xfId="0" applyFont="1" applyFill="1" applyBorder="1" applyAlignment="1">
      <alignment vertical="center"/>
    </xf>
    <xf numFmtId="0" fontId="117" fillId="0" borderId="58" xfId="0" applyFont="1" applyFill="1" applyBorder="1" applyAlignment="1">
      <alignment vertical="center"/>
    </xf>
    <xf numFmtId="0" fontId="117" fillId="0" borderId="43" xfId="0" applyFont="1" applyFill="1" applyBorder="1" applyAlignment="1">
      <alignment vertical="center"/>
    </xf>
    <xf numFmtId="0" fontId="108" fillId="0" borderId="72" xfId="0" applyFont="1" applyFill="1" applyBorder="1" applyAlignment="1">
      <alignment vertical="center"/>
    </xf>
    <xf numFmtId="0" fontId="108" fillId="0" borderId="58" xfId="0" applyFont="1" applyFill="1" applyBorder="1" applyAlignment="1">
      <alignment horizontal="center" vertical="center"/>
    </xf>
    <xf numFmtId="2" fontId="117" fillId="0" borderId="58" xfId="0" applyNumberFormat="1" applyFont="1" applyFill="1" applyBorder="1" applyAlignment="1">
      <alignment vertical="center"/>
    </xf>
    <xf numFmtId="2" fontId="117" fillId="0" borderId="71" xfId="0" applyNumberFormat="1" applyFont="1" applyFill="1" applyBorder="1" applyAlignment="1">
      <alignment horizontal="center" vertical="center"/>
    </xf>
    <xf numFmtId="0" fontId="108" fillId="0" borderId="44" xfId="0" applyFont="1" applyFill="1" applyBorder="1" applyAlignment="1">
      <alignment horizontal="right" vertical="center"/>
    </xf>
    <xf numFmtId="0" fontId="108" fillId="0" borderId="41" xfId="0" applyFont="1" applyFill="1" applyBorder="1" applyAlignment="1">
      <alignment vertical="center"/>
    </xf>
    <xf numFmtId="0" fontId="108" fillId="0" borderId="42" xfId="0" applyFont="1" applyFill="1" applyBorder="1" applyAlignment="1">
      <alignment vertical="center"/>
    </xf>
    <xf numFmtId="0" fontId="117" fillId="0" borderId="42" xfId="0" applyFont="1" applyFill="1" applyBorder="1" applyAlignment="1">
      <alignment vertical="center"/>
    </xf>
    <xf numFmtId="0" fontId="117" fillId="0" borderId="52" xfId="0" applyFont="1" applyFill="1" applyBorder="1" applyAlignment="1">
      <alignment vertical="center"/>
    </xf>
    <xf numFmtId="0" fontId="108" fillId="0" borderId="51" xfId="0" applyFont="1" applyFill="1" applyBorder="1" applyAlignment="1">
      <alignment vertical="center"/>
    </xf>
    <xf numFmtId="0" fontId="108" fillId="0" borderId="42" xfId="0" applyFont="1" applyFill="1" applyBorder="1" applyAlignment="1">
      <alignment horizontal="center" vertical="center"/>
    </xf>
    <xf numFmtId="2" fontId="117" fillId="0" borderId="42" xfId="0" applyNumberFormat="1" applyFont="1" applyFill="1" applyBorder="1" applyAlignment="1">
      <alignment vertical="center"/>
    </xf>
    <xf numFmtId="2" fontId="117" fillId="0" borderId="44" xfId="0" applyNumberFormat="1" applyFont="1" applyFill="1" applyBorder="1" applyAlignment="1">
      <alignment horizontal="center" vertical="center"/>
    </xf>
    <xf numFmtId="0" fontId="108" fillId="0" borderId="58" xfId="0" applyFont="1" applyBorder="1" applyAlignment="1">
      <alignment/>
    </xf>
    <xf numFmtId="0" fontId="108" fillId="0" borderId="71" xfId="0" applyFont="1" applyBorder="1" applyAlignment="1">
      <alignment/>
    </xf>
    <xf numFmtId="0" fontId="108" fillId="0" borderId="25" xfId="0" applyFont="1" applyBorder="1" applyAlignment="1">
      <alignment/>
    </xf>
    <xf numFmtId="0" fontId="108" fillId="0" borderId="43" xfId="0" applyFont="1" applyBorder="1" applyAlignment="1">
      <alignment/>
    </xf>
    <xf numFmtId="0" fontId="108" fillId="0" borderId="72" xfId="0" applyFont="1" applyBorder="1" applyAlignment="1">
      <alignment/>
    </xf>
    <xf numFmtId="0" fontId="108" fillId="0" borderId="42" xfId="0" applyFont="1" applyBorder="1" applyAlignment="1">
      <alignment/>
    </xf>
    <xf numFmtId="0" fontId="108" fillId="0" borderId="44" xfId="0" applyFont="1" applyBorder="1" applyAlignment="1">
      <alignment/>
    </xf>
    <xf numFmtId="0" fontId="108" fillId="0" borderId="41" xfId="0" applyFont="1" applyBorder="1" applyAlignment="1">
      <alignment/>
    </xf>
    <xf numFmtId="0" fontId="108" fillId="0" borderId="52" xfId="0" applyFont="1" applyBorder="1" applyAlignment="1">
      <alignment/>
    </xf>
    <xf numFmtId="0" fontId="108" fillId="0" borderId="51" xfId="0" applyFont="1" applyBorder="1" applyAlignment="1">
      <alignment/>
    </xf>
    <xf numFmtId="0" fontId="108" fillId="0" borderId="48" xfId="0" applyFont="1" applyBorder="1" applyAlignment="1">
      <alignment/>
    </xf>
    <xf numFmtId="0" fontId="108" fillId="0" borderId="57" xfId="0" applyFont="1" applyBorder="1" applyAlignment="1">
      <alignment/>
    </xf>
    <xf numFmtId="0" fontId="108" fillId="0" borderId="73" xfId="0" applyFont="1" applyBorder="1" applyAlignment="1">
      <alignment/>
    </xf>
    <xf numFmtId="0" fontId="108" fillId="0" borderId="74" xfId="0" applyFont="1" applyBorder="1" applyAlignment="1">
      <alignment/>
    </xf>
    <xf numFmtId="0" fontId="108" fillId="0" borderId="54" xfId="0" applyFont="1" applyBorder="1" applyAlignment="1">
      <alignment/>
    </xf>
    <xf numFmtId="0" fontId="108" fillId="0" borderId="0" xfId="0" applyFont="1" applyAlignment="1">
      <alignment/>
    </xf>
    <xf numFmtId="0" fontId="9" fillId="33" borderId="16" xfId="0" applyFont="1" applyFill="1" applyBorder="1" applyAlignment="1">
      <alignment horizontal="center"/>
    </xf>
    <xf numFmtId="3" fontId="9" fillId="0" borderId="10" xfId="0" applyNumberFormat="1" applyFont="1" applyBorder="1" applyAlignment="1">
      <alignment horizontal="right"/>
    </xf>
    <xf numFmtId="165" fontId="110" fillId="0" borderId="46" xfId="42" applyNumberFormat="1" applyFont="1" applyFill="1" applyBorder="1" applyAlignment="1">
      <alignment/>
    </xf>
    <xf numFmtId="37" fontId="111" fillId="0" borderId="10" xfId="0" applyNumberFormat="1" applyFont="1" applyBorder="1" applyAlignment="1">
      <alignment/>
    </xf>
    <xf numFmtId="0" fontId="108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8" fillId="0" borderId="11" xfId="0" applyFont="1" applyBorder="1" applyAlignment="1">
      <alignment horizontal="center"/>
    </xf>
    <xf numFmtId="0" fontId="109" fillId="0" borderId="20" xfId="0" applyFont="1" applyBorder="1" applyAlignment="1">
      <alignment horizontal="center"/>
    </xf>
    <xf numFmtId="2" fontId="108" fillId="0" borderId="10" xfId="0" applyNumberFormat="1" applyFont="1" applyBorder="1" applyAlignment="1">
      <alignment horizontal="center"/>
    </xf>
    <xf numFmtId="2" fontId="108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109" fillId="0" borderId="30" xfId="0" applyFont="1" applyBorder="1" applyAlignment="1">
      <alignment horizontal="center"/>
    </xf>
    <xf numFmtId="2" fontId="108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108" fillId="0" borderId="13" xfId="0" applyFont="1" applyBorder="1" applyAlignment="1">
      <alignment horizontal="center"/>
    </xf>
    <xf numFmtId="2" fontId="108" fillId="33" borderId="12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4" fontId="108" fillId="0" borderId="10" xfId="0" applyNumberFormat="1" applyFont="1" applyBorder="1" applyAlignment="1">
      <alignment horizontal="center"/>
    </xf>
    <xf numFmtId="4" fontId="108" fillId="0" borderId="11" xfId="0" applyNumberFormat="1" applyFont="1" applyBorder="1" applyAlignment="1">
      <alignment horizontal="center"/>
    </xf>
    <xf numFmtId="4" fontId="108" fillId="0" borderId="10" xfId="0" applyNumberFormat="1" applyFont="1" applyFill="1" applyBorder="1" applyAlignment="1">
      <alignment horizontal="center"/>
    </xf>
    <xf numFmtId="4" fontId="108" fillId="0" borderId="11" xfId="0" applyNumberFormat="1" applyFont="1" applyFill="1" applyBorder="1" applyAlignment="1">
      <alignment horizontal="center"/>
    </xf>
    <xf numFmtId="0" fontId="119" fillId="0" borderId="0" xfId="0" applyFont="1" applyAlignment="1">
      <alignment/>
    </xf>
    <xf numFmtId="2" fontId="13" fillId="0" borderId="10" xfId="0" applyNumberFormat="1" applyFont="1" applyBorder="1" applyAlignment="1">
      <alignment horizontal="center"/>
    </xf>
    <xf numFmtId="4" fontId="108" fillId="0" borderId="12" xfId="0" applyNumberFormat="1" applyFont="1" applyFill="1" applyBorder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4" fontId="108" fillId="0" borderId="13" xfId="0" applyNumberFormat="1" applyFont="1" applyBorder="1" applyAlignment="1">
      <alignment horizontal="center"/>
    </xf>
    <xf numFmtId="4" fontId="108" fillId="33" borderId="12" xfId="0" applyNumberFormat="1" applyFont="1" applyFill="1" applyBorder="1" applyAlignment="1">
      <alignment horizontal="center"/>
    </xf>
    <xf numFmtId="2" fontId="13" fillId="33" borderId="12" xfId="0" applyNumberFormat="1" applyFont="1" applyFill="1" applyBorder="1" applyAlignment="1">
      <alignment horizontal="center"/>
    </xf>
    <xf numFmtId="167" fontId="108" fillId="0" borderId="10" xfId="89" applyNumberFormat="1" applyFont="1" applyBorder="1" applyAlignment="1">
      <alignment horizontal="center"/>
    </xf>
    <xf numFmtId="167" fontId="108" fillId="0" borderId="11" xfId="89" applyNumberFormat="1" applyFont="1" applyBorder="1" applyAlignment="1">
      <alignment horizontal="center"/>
    </xf>
    <xf numFmtId="167" fontId="108" fillId="0" borderId="12" xfId="89" applyNumberFormat="1" applyFont="1" applyBorder="1" applyAlignment="1">
      <alignment horizontal="center"/>
    </xf>
    <xf numFmtId="167" fontId="108" fillId="33" borderId="12" xfId="89" applyNumberFormat="1" applyFont="1" applyFill="1" applyBorder="1" applyAlignment="1">
      <alignment horizontal="center"/>
    </xf>
    <xf numFmtId="0" fontId="111" fillId="0" borderId="0" xfId="0" applyFont="1" applyAlignment="1">
      <alignment horizontal="center"/>
    </xf>
    <xf numFmtId="0" fontId="111" fillId="33" borderId="10" xfId="0" applyFont="1" applyFill="1" applyBorder="1" applyAlignment="1">
      <alignment horizontal="center"/>
    </xf>
    <xf numFmtId="169" fontId="111" fillId="0" borderId="10" xfId="0" applyNumberFormat="1" applyFont="1" applyBorder="1" applyAlignment="1">
      <alignment horizontal="center"/>
    </xf>
    <xf numFmtId="169" fontId="111" fillId="33" borderId="10" xfId="0" applyNumberFormat="1" applyFont="1" applyFill="1" applyBorder="1" applyAlignment="1">
      <alignment horizontal="center"/>
    </xf>
    <xf numFmtId="171" fontId="108" fillId="0" borderId="0" xfId="0" applyNumberFormat="1" applyFont="1" applyAlignment="1">
      <alignment/>
    </xf>
    <xf numFmtId="2" fontId="108" fillId="0" borderId="0" xfId="0" applyNumberFormat="1" applyFont="1" applyAlignment="1">
      <alignment/>
    </xf>
    <xf numFmtId="0" fontId="108" fillId="0" borderId="68" xfId="0" applyFont="1" applyBorder="1" applyAlignment="1">
      <alignment/>
    </xf>
    <xf numFmtId="0" fontId="109" fillId="33" borderId="10" xfId="0" applyFont="1" applyFill="1" applyBorder="1" applyAlignment="1">
      <alignment horizontal="center" vertical="center" wrapText="1"/>
    </xf>
    <xf numFmtId="0" fontId="111" fillId="0" borderId="10" xfId="0" applyFont="1" applyFill="1" applyBorder="1" applyAlignment="1">
      <alignment horizontal="center" vertical="center"/>
    </xf>
    <xf numFmtId="168" fontId="108" fillId="0" borderId="0" xfId="0" applyNumberFormat="1" applyFont="1" applyBorder="1" applyAlignment="1">
      <alignment/>
    </xf>
    <xf numFmtId="3" fontId="108" fillId="0" borderId="0" xfId="0" applyNumberFormat="1" applyFont="1" applyBorder="1" applyAlignment="1">
      <alignment/>
    </xf>
    <xf numFmtId="0" fontId="108" fillId="0" borderId="17" xfId="0" applyFont="1" applyBorder="1" applyAlignment="1">
      <alignment/>
    </xf>
    <xf numFmtId="0" fontId="108" fillId="0" borderId="61" xfId="0" applyFont="1" applyBorder="1" applyAlignment="1">
      <alignment/>
    </xf>
    <xf numFmtId="0" fontId="108" fillId="0" borderId="15" xfId="0" applyFont="1" applyBorder="1" applyAlignment="1">
      <alignment/>
    </xf>
    <xf numFmtId="0" fontId="29" fillId="37" borderId="20" xfId="0" applyFont="1" applyFill="1" applyBorder="1" applyAlignment="1">
      <alignment horizontal="left" vertical="center"/>
    </xf>
    <xf numFmtId="164" fontId="29" fillId="37" borderId="10" xfId="0" applyNumberFormat="1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5" fillId="0" borderId="45" xfId="0" applyFont="1" applyBorder="1" applyAlignment="1">
      <alignment/>
    </xf>
    <xf numFmtId="164" fontId="5" fillId="0" borderId="46" xfId="0" applyNumberFormat="1" applyFont="1" applyFill="1" applyBorder="1" applyAlignment="1">
      <alignment/>
    </xf>
    <xf numFmtId="164" fontId="5" fillId="0" borderId="21" xfId="58" applyNumberFormat="1" applyFont="1" applyFill="1" applyBorder="1" applyAlignment="1">
      <alignment horizontal="center" vertical="center"/>
    </xf>
    <xf numFmtId="165" fontId="5" fillId="0" borderId="21" xfId="58" applyNumberFormat="1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3" fontId="109" fillId="0" borderId="11" xfId="0" applyNumberFormat="1" applyFont="1" applyBorder="1" applyAlignment="1">
      <alignment/>
    </xf>
    <xf numFmtId="164" fontId="5" fillId="0" borderId="10" xfId="58" applyNumberFormat="1" applyFont="1" applyFill="1" applyBorder="1" applyAlignment="1">
      <alignment/>
    </xf>
    <xf numFmtId="164" fontId="109" fillId="0" borderId="10" xfId="0" applyNumberFormat="1" applyFont="1" applyBorder="1" applyAlignment="1">
      <alignment/>
    </xf>
    <xf numFmtId="165" fontId="109" fillId="0" borderId="10" xfId="0" applyNumberFormat="1" applyFont="1" applyBorder="1" applyAlignment="1">
      <alignment/>
    </xf>
    <xf numFmtId="3" fontId="109" fillId="0" borderId="10" xfId="0" applyNumberFormat="1" applyFont="1" applyBorder="1" applyAlignment="1">
      <alignment/>
    </xf>
    <xf numFmtId="37" fontId="109" fillId="0" borderId="11" xfId="0" applyNumberFormat="1" applyFont="1" applyBorder="1" applyAlignment="1">
      <alignment/>
    </xf>
    <xf numFmtId="3" fontId="109" fillId="0" borderId="21" xfId="0" applyNumberFormat="1" applyFont="1" applyBorder="1" applyAlignment="1">
      <alignment/>
    </xf>
    <xf numFmtId="164" fontId="108" fillId="0" borderId="0" xfId="0" applyNumberFormat="1" applyFont="1" applyBorder="1" applyAlignment="1">
      <alignment/>
    </xf>
    <xf numFmtId="164" fontId="109" fillId="0" borderId="10" xfId="0" applyNumberFormat="1" applyFont="1" applyFill="1" applyBorder="1" applyAlignment="1">
      <alignment/>
    </xf>
    <xf numFmtId="164" fontId="5" fillId="0" borderId="10" xfId="0" applyNumberFormat="1" applyFont="1" applyBorder="1" applyAlignment="1">
      <alignment/>
    </xf>
    <xf numFmtId="166" fontId="5" fillId="0" borderId="10" xfId="0" applyNumberFormat="1" applyFont="1" applyFill="1" applyBorder="1" applyAlignment="1">
      <alignment/>
    </xf>
    <xf numFmtId="0" fontId="5" fillId="0" borderId="30" xfId="0" applyFont="1" applyBorder="1" applyAlignment="1">
      <alignment horizontal="center"/>
    </xf>
    <xf numFmtId="164" fontId="5" fillId="0" borderId="12" xfId="58" applyNumberFormat="1" applyFont="1" applyFill="1" applyBorder="1" applyAlignment="1">
      <alignment/>
    </xf>
    <xf numFmtId="164" fontId="5" fillId="0" borderId="12" xfId="0" applyNumberFormat="1" applyFont="1" applyBorder="1" applyAlignment="1">
      <alignment horizontal="center"/>
    </xf>
    <xf numFmtId="164" fontId="5" fillId="0" borderId="12" xfId="0" applyNumberFormat="1" applyFont="1" applyFill="1" applyBorder="1" applyAlignment="1">
      <alignment/>
    </xf>
    <xf numFmtId="3" fontId="109" fillId="0" borderId="13" xfId="0" applyNumberFormat="1" applyFont="1" applyBorder="1" applyAlignment="1">
      <alignment/>
    </xf>
    <xf numFmtId="164" fontId="108" fillId="0" borderId="0" xfId="0" applyNumberFormat="1" applyFont="1" applyAlignment="1">
      <alignment/>
    </xf>
    <xf numFmtId="164" fontId="5" fillId="0" borderId="13" xfId="0" applyNumberFormat="1" applyFont="1" applyFill="1" applyBorder="1" applyAlignment="1">
      <alignment/>
    </xf>
    <xf numFmtId="0" fontId="29" fillId="37" borderId="75" xfId="0" applyFont="1" applyFill="1" applyBorder="1" applyAlignment="1">
      <alignment horizontal="left" vertical="center"/>
    </xf>
    <xf numFmtId="164" fontId="29" fillId="37" borderId="21" xfId="0" applyNumberFormat="1" applyFont="1" applyFill="1" applyBorder="1" applyAlignment="1">
      <alignment horizontal="center" vertical="center"/>
    </xf>
    <xf numFmtId="0" fontId="5" fillId="37" borderId="5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111" fillId="0" borderId="10" xfId="0" applyNumberFormat="1" applyFont="1" applyFill="1" applyBorder="1" applyAlignment="1">
      <alignment horizontal="right"/>
    </xf>
    <xf numFmtId="164" fontId="111" fillId="0" borderId="10" xfId="0" applyNumberFormat="1" applyFont="1" applyFill="1" applyBorder="1" applyAlignment="1">
      <alignment/>
    </xf>
    <xf numFmtId="164" fontId="7" fillId="0" borderId="10" xfId="59" applyNumberFormat="1" applyFont="1" applyFill="1" applyBorder="1" applyAlignment="1">
      <alignment horizontal="center" vertical="center"/>
    </xf>
    <xf numFmtId="3" fontId="111" fillId="0" borderId="10" xfId="0" applyNumberFormat="1" applyFont="1" applyFill="1" applyBorder="1" applyAlignment="1">
      <alignment horizontal="right" vertical="center"/>
    </xf>
    <xf numFmtId="164" fontId="111" fillId="0" borderId="10" xfId="0" applyNumberFormat="1" applyFont="1" applyFill="1" applyBorder="1" applyAlignment="1">
      <alignment horizontal="right" indent="2"/>
    </xf>
    <xf numFmtId="164" fontId="108" fillId="0" borderId="10" xfId="0" applyNumberFormat="1" applyFont="1" applyBorder="1" applyAlignment="1">
      <alignment/>
    </xf>
    <xf numFmtId="0" fontId="5" fillId="0" borderId="30" xfId="0" applyFont="1" applyFill="1" applyBorder="1" applyAlignment="1">
      <alignment horizontal="center"/>
    </xf>
    <xf numFmtId="0" fontId="108" fillId="0" borderId="10" xfId="0" applyFont="1" applyBorder="1" applyAlignment="1">
      <alignment/>
    </xf>
    <xf numFmtId="0" fontId="30" fillId="0" borderId="10" xfId="0" applyFont="1" applyFill="1" applyBorder="1" applyAlignment="1">
      <alignment horizontal="center" textRotation="90" wrapText="1"/>
    </xf>
    <xf numFmtId="0" fontId="30" fillId="0" borderId="10" xfId="78" applyFont="1" applyBorder="1" applyAlignment="1">
      <alignment horizontal="left" vertical="center" wrapText="1"/>
      <protection/>
    </xf>
    <xf numFmtId="3" fontId="30" fillId="0" borderId="10" xfId="58" applyNumberFormat="1" applyFont="1" applyFill="1" applyBorder="1" applyAlignment="1">
      <alignment horizontal="center" textRotation="90"/>
    </xf>
    <xf numFmtId="3" fontId="30" fillId="0" borderId="10" xfId="0" applyNumberFormat="1" applyFont="1" applyFill="1" applyBorder="1" applyAlignment="1">
      <alignment horizontal="center" textRotation="90"/>
    </xf>
    <xf numFmtId="3" fontId="30" fillId="0" borderId="10" xfId="58" applyNumberFormat="1" applyFont="1" applyBorder="1" applyAlignment="1">
      <alignment horizontal="center" textRotation="90"/>
    </xf>
    <xf numFmtId="3" fontId="30" fillId="0" borderId="10" xfId="89" applyNumberFormat="1" applyFont="1" applyFill="1" applyBorder="1" applyAlignment="1">
      <alignment horizontal="center" textRotation="90"/>
    </xf>
    <xf numFmtId="3" fontId="120" fillId="0" borderId="10" xfId="0" applyNumberFormat="1" applyFont="1" applyFill="1" applyBorder="1" applyAlignment="1">
      <alignment horizontal="center" textRotation="90"/>
    </xf>
    <xf numFmtId="3" fontId="30" fillId="0" borderId="10" xfId="78" applyNumberFormat="1" applyFont="1" applyFill="1" applyBorder="1" applyAlignment="1">
      <alignment horizontal="center" textRotation="90"/>
      <protection/>
    </xf>
    <xf numFmtId="3" fontId="120" fillId="0" borderId="10" xfId="58" applyNumberFormat="1" applyFont="1" applyFill="1" applyBorder="1" applyAlignment="1">
      <alignment horizontal="center" textRotation="90"/>
    </xf>
    <xf numFmtId="3" fontId="120" fillId="0" borderId="10" xfId="58" applyNumberFormat="1" applyFont="1" applyFill="1" applyBorder="1" applyAlignment="1">
      <alignment horizontal="center" textRotation="90" wrapText="1"/>
    </xf>
    <xf numFmtId="3" fontId="30" fillId="0" borderId="10" xfId="58" applyNumberFormat="1" applyFont="1" applyFill="1" applyBorder="1" applyAlignment="1">
      <alignment horizontal="center" textRotation="90" wrapText="1"/>
    </xf>
    <xf numFmtId="3" fontId="30" fillId="0" borderId="10" xfId="78" applyNumberFormat="1" applyFont="1" applyFill="1" applyBorder="1" applyAlignment="1">
      <alignment horizontal="center" textRotation="90" wrapText="1"/>
      <protection/>
    </xf>
    <xf numFmtId="0" fontId="120" fillId="0" borderId="10" xfId="0" applyFont="1" applyFill="1" applyBorder="1" applyAlignment="1">
      <alignment horizontal="left" vertical="center" wrapText="1"/>
    </xf>
    <xf numFmtId="3" fontId="120" fillId="0" borderId="10" xfId="0" applyNumberFormat="1" applyFont="1" applyFill="1" applyBorder="1" applyAlignment="1">
      <alignment horizontal="center" textRotation="90" wrapText="1"/>
    </xf>
    <xf numFmtId="3" fontId="30" fillId="0" borderId="10" xfId="0" applyNumberFormat="1" applyFont="1" applyFill="1" applyBorder="1" applyAlignment="1">
      <alignment horizontal="center" textRotation="90" wrapText="1"/>
    </xf>
    <xf numFmtId="0" fontId="120" fillId="4" borderId="10" xfId="0" applyFont="1" applyFill="1" applyBorder="1" applyAlignment="1">
      <alignment horizontal="left" vertical="center" wrapText="1"/>
    </xf>
    <xf numFmtId="3" fontId="120" fillId="4" borderId="10" xfId="0" applyNumberFormat="1" applyFont="1" applyFill="1" applyBorder="1" applyAlignment="1">
      <alignment horizontal="center" textRotation="90"/>
    </xf>
    <xf numFmtId="3" fontId="120" fillId="4" borderId="10" xfId="0" applyNumberFormat="1" applyFont="1" applyFill="1" applyBorder="1" applyAlignment="1">
      <alignment horizontal="center" textRotation="90" wrapText="1"/>
    </xf>
    <xf numFmtId="3" fontId="30" fillId="4" borderId="10" xfId="0" applyNumberFormat="1" applyFont="1" applyFill="1" applyBorder="1" applyAlignment="1">
      <alignment horizontal="center" textRotation="90" wrapText="1"/>
    </xf>
    <xf numFmtId="3" fontId="30" fillId="4" borderId="10" xfId="0" applyNumberFormat="1" applyFont="1" applyFill="1" applyBorder="1" applyAlignment="1">
      <alignment horizontal="center" textRotation="90"/>
    </xf>
    <xf numFmtId="3" fontId="30" fillId="4" borderId="10" xfId="58" applyNumberFormat="1" applyFont="1" applyFill="1" applyBorder="1" applyAlignment="1">
      <alignment horizontal="center" textRotation="90"/>
    </xf>
    <xf numFmtId="3" fontId="30" fillId="4" borderId="10" xfId="78" applyNumberFormat="1" applyFont="1" applyFill="1" applyBorder="1" applyAlignment="1">
      <alignment horizontal="center" textRotation="90"/>
      <protection/>
    </xf>
    <xf numFmtId="3" fontId="109" fillId="4" borderId="10" xfId="0" applyNumberFormat="1" applyFont="1" applyFill="1" applyBorder="1" applyAlignment="1">
      <alignment horizontal="center" textRotation="90"/>
    </xf>
    <xf numFmtId="3" fontId="108" fillId="4" borderId="10" xfId="0" applyNumberFormat="1" applyFont="1" applyFill="1" applyBorder="1" applyAlignment="1">
      <alignment horizontal="center" textRotation="90"/>
    </xf>
    <xf numFmtId="169" fontId="108" fillId="0" borderId="0" xfId="0" applyNumberFormat="1" applyFont="1" applyAlignment="1">
      <alignment/>
    </xf>
    <xf numFmtId="170" fontId="111" fillId="0" borderId="10" xfId="0" applyNumberFormat="1" applyFont="1" applyBorder="1" applyAlignment="1">
      <alignment horizontal="right" vertical="center" wrapText="1"/>
    </xf>
    <xf numFmtId="0" fontId="9" fillId="0" borderId="19" xfId="0" applyFont="1" applyFill="1" applyBorder="1" applyAlignment="1">
      <alignment horizontal="right" vertical="center"/>
    </xf>
    <xf numFmtId="3" fontId="7" fillId="0" borderId="76" xfId="0" applyNumberFormat="1" applyFont="1" applyBorder="1" applyAlignment="1">
      <alignment vertical="center"/>
    </xf>
    <xf numFmtId="3" fontId="7" fillId="0" borderId="77" xfId="0" applyNumberFormat="1" applyFont="1" applyBorder="1" applyAlignment="1">
      <alignment horizontal="right" vertical="center"/>
    </xf>
    <xf numFmtId="170" fontId="111" fillId="0" borderId="21" xfId="0" applyNumberFormat="1" applyFont="1" applyBorder="1" applyAlignment="1">
      <alignment horizontal="right" vertical="center" wrapText="1"/>
    </xf>
    <xf numFmtId="3" fontId="7" fillId="0" borderId="78" xfId="0" applyNumberFormat="1" applyFont="1" applyBorder="1" applyAlignment="1">
      <alignment vertical="center"/>
    </xf>
    <xf numFmtId="170" fontId="111" fillId="0" borderId="10" xfId="0" applyNumberFormat="1" applyFont="1" applyFill="1" applyBorder="1" applyAlignment="1">
      <alignment horizontal="right" vertical="center" wrapText="1"/>
    </xf>
    <xf numFmtId="165" fontId="12" fillId="0" borderId="28" xfId="42" applyNumberFormat="1" applyFont="1" applyBorder="1" applyAlignment="1">
      <alignment/>
    </xf>
    <xf numFmtId="165" fontId="12" fillId="0" borderId="79" xfId="42" applyNumberFormat="1" applyFont="1" applyBorder="1" applyAlignment="1">
      <alignment/>
    </xf>
    <xf numFmtId="165" fontId="4" fillId="0" borderId="28" xfId="42" applyNumberFormat="1" applyFont="1" applyBorder="1" applyAlignment="1">
      <alignment/>
    </xf>
    <xf numFmtId="165" fontId="4" fillId="0" borderId="66" xfId="42" applyNumberFormat="1" applyFont="1" applyBorder="1" applyAlignment="1">
      <alignment/>
    </xf>
    <xf numFmtId="0" fontId="110" fillId="0" borderId="10" xfId="0" applyFont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top"/>
    </xf>
    <xf numFmtId="0" fontId="110" fillId="0" borderId="10" xfId="0" applyFont="1" applyFill="1" applyBorder="1" applyAlignment="1">
      <alignment horizontal="left" vertical="center"/>
    </xf>
    <xf numFmtId="170" fontId="111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110" fillId="0" borderId="0" xfId="0" applyFont="1" applyBorder="1" applyAlignment="1">
      <alignment horizontal="left" vertical="center"/>
    </xf>
    <xf numFmtId="170" fontId="111" fillId="0" borderId="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3" fontId="110" fillId="0" borderId="0" xfId="0" applyNumberFormat="1" applyFont="1" applyFill="1" applyBorder="1" applyAlignment="1">
      <alignment horizontal="right" vertical="center"/>
    </xf>
    <xf numFmtId="37" fontId="111" fillId="34" borderId="23" xfId="0" applyNumberFormat="1" applyFont="1" applyFill="1" applyBorder="1" applyAlignment="1">
      <alignment horizontal="right" vertical="center"/>
    </xf>
    <xf numFmtId="170" fontId="110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/>
    </xf>
    <xf numFmtId="3" fontId="9" fillId="0" borderId="19" xfId="78" applyNumberFormat="1" applyFont="1" applyFill="1" applyBorder="1" applyAlignment="1">
      <alignment horizontal="right"/>
      <protection/>
    </xf>
    <xf numFmtId="3" fontId="110" fillId="0" borderId="10" xfId="0" applyNumberFormat="1" applyFont="1" applyFill="1" applyBorder="1" applyAlignment="1">
      <alignment/>
    </xf>
    <xf numFmtId="3" fontId="9" fillId="0" borderId="22" xfId="78" applyNumberFormat="1" applyFont="1" applyFill="1" applyBorder="1" applyAlignment="1">
      <alignment horizontal="center" vertical="center"/>
      <protection/>
    </xf>
    <xf numFmtId="0" fontId="9" fillId="0" borderId="19" xfId="0" applyFont="1" applyFill="1" applyBorder="1" applyAlignment="1">
      <alignment horizontal="right"/>
    </xf>
    <xf numFmtId="0" fontId="9" fillId="0" borderId="10" xfId="83" applyFont="1" applyFill="1" applyBorder="1" quotePrefix="1">
      <alignment/>
      <protection/>
    </xf>
    <xf numFmtId="0" fontId="110" fillId="0" borderId="21" xfId="0" applyFont="1" applyBorder="1" applyAlignment="1">
      <alignment vertical="center" wrapText="1"/>
    </xf>
    <xf numFmtId="3" fontId="9" fillId="0" borderId="22" xfId="78" applyNumberFormat="1" applyFont="1" applyFill="1" applyBorder="1" applyAlignment="1">
      <alignment horizontal="right"/>
      <protection/>
    </xf>
    <xf numFmtId="14" fontId="9" fillId="0" borderId="19" xfId="0" applyNumberFormat="1" applyFont="1" applyFill="1" applyBorder="1" applyAlignment="1">
      <alignment horizontal="right" vertical="center" wrapText="1"/>
    </xf>
    <xf numFmtId="170" fontId="110" fillId="0" borderId="21" xfId="0" applyNumberFormat="1" applyFont="1" applyFill="1" applyBorder="1" applyAlignment="1">
      <alignment horizontal="right" vertical="center"/>
    </xf>
    <xf numFmtId="169" fontId="110" fillId="0" borderId="21" xfId="0" applyNumberFormat="1" applyFont="1" applyBorder="1" applyAlignment="1">
      <alignment/>
    </xf>
    <xf numFmtId="14" fontId="9" fillId="0" borderId="22" xfId="0" applyNumberFormat="1" applyFont="1" applyFill="1" applyBorder="1" applyAlignment="1">
      <alignment horizontal="right" vertical="center" wrapText="1"/>
    </xf>
    <xf numFmtId="170" fontId="110" fillId="0" borderId="10" xfId="0" applyNumberFormat="1" applyFont="1" applyFill="1" applyBorder="1" applyAlignment="1">
      <alignment horizontal="right" vertical="center"/>
    </xf>
    <xf numFmtId="169" fontId="110" fillId="0" borderId="10" xfId="0" applyNumberFormat="1" applyFont="1" applyBorder="1" applyAlignment="1">
      <alignment/>
    </xf>
    <xf numFmtId="14" fontId="9" fillId="0" borderId="10" xfId="0" applyNumberFormat="1" applyFont="1" applyFill="1" applyBorder="1" applyAlignment="1">
      <alignment horizontal="right" vertical="center" wrapText="1"/>
    </xf>
    <xf numFmtId="3" fontId="110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109" fillId="0" borderId="45" xfId="0" applyFont="1" applyFill="1" applyBorder="1" applyAlignment="1">
      <alignment horizontal="center"/>
    </xf>
    <xf numFmtId="0" fontId="109" fillId="0" borderId="80" xfId="0" applyFont="1" applyFill="1" applyBorder="1" applyAlignment="1">
      <alignment horizontal="center"/>
    </xf>
    <xf numFmtId="0" fontId="109" fillId="0" borderId="0" xfId="0" applyFont="1" applyFill="1" applyAlignment="1">
      <alignment/>
    </xf>
    <xf numFmtId="0" fontId="108" fillId="0" borderId="14" xfId="0" applyFont="1" applyFill="1" applyBorder="1" applyAlignment="1">
      <alignment horizontal="center"/>
    </xf>
    <xf numFmtId="165" fontId="108" fillId="0" borderId="10" xfId="42" applyNumberFormat="1" applyFont="1" applyFill="1" applyBorder="1" applyAlignment="1">
      <alignment/>
    </xf>
    <xf numFmtId="165" fontId="108" fillId="0" borderId="52" xfId="42" applyNumberFormat="1" applyFont="1" applyFill="1" applyBorder="1" applyAlignment="1">
      <alignment/>
    </xf>
    <xf numFmtId="0" fontId="109" fillId="0" borderId="14" xfId="0" applyFont="1" applyFill="1" applyBorder="1" applyAlignment="1">
      <alignment horizontal="center"/>
    </xf>
    <xf numFmtId="165" fontId="108" fillId="0" borderId="11" xfId="42" applyNumberFormat="1" applyFont="1" applyFill="1" applyBorder="1" applyAlignment="1">
      <alignment/>
    </xf>
    <xf numFmtId="165" fontId="108" fillId="0" borderId="0" xfId="0" applyNumberFormat="1" applyFont="1" applyFill="1" applyAlignment="1">
      <alignment/>
    </xf>
    <xf numFmtId="165" fontId="109" fillId="0" borderId="14" xfId="42" applyNumberFormat="1" applyFont="1" applyFill="1" applyBorder="1" applyAlignment="1">
      <alignment horizontal="center"/>
    </xf>
    <xf numFmtId="165" fontId="108" fillId="0" borderId="19" xfId="42" applyNumberFormat="1" applyFont="1" applyFill="1" applyBorder="1" applyAlignment="1">
      <alignment/>
    </xf>
    <xf numFmtId="165" fontId="108" fillId="0" borderId="10" xfId="42" applyNumberFormat="1" applyFont="1" applyFill="1" applyBorder="1" applyAlignment="1">
      <alignment horizontal="right"/>
    </xf>
    <xf numFmtId="165" fontId="108" fillId="0" borderId="11" xfId="42" applyNumberFormat="1" applyFont="1" applyFill="1" applyBorder="1" applyAlignment="1">
      <alignment horizontal="right"/>
    </xf>
    <xf numFmtId="0" fontId="109" fillId="0" borderId="2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center" wrapText="1"/>
    </xf>
    <xf numFmtId="165" fontId="109" fillId="0" borderId="10" xfId="42" applyNumberFormat="1" applyFont="1" applyFill="1" applyBorder="1" applyAlignment="1">
      <alignment/>
    </xf>
    <xf numFmtId="165" fontId="109" fillId="0" borderId="11" xfId="42" applyNumberFormat="1" applyFont="1" applyFill="1" applyBorder="1" applyAlignment="1">
      <alignment/>
    </xf>
    <xf numFmtId="10" fontId="109" fillId="0" borderId="10" xfId="89" applyNumberFormat="1" applyFont="1" applyFill="1" applyBorder="1" applyAlignment="1">
      <alignment/>
    </xf>
    <xf numFmtId="10" fontId="109" fillId="0" borderId="11" xfId="89" applyNumberFormat="1" applyFont="1" applyFill="1" applyBorder="1" applyAlignment="1">
      <alignment/>
    </xf>
    <xf numFmtId="10" fontId="109" fillId="0" borderId="0" xfId="89" applyNumberFormat="1" applyFont="1" applyFill="1" applyAlignment="1">
      <alignment/>
    </xf>
    <xf numFmtId="10" fontId="109" fillId="0" borderId="0" xfId="0" applyNumberFormat="1" applyFont="1" applyFill="1" applyAlignment="1">
      <alignment/>
    </xf>
    <xf numFmtId="10" fontId="108" fillId="0" borderId="10" xfId="89" applyNumberFormat="1" applyFont="1" applyFill="1" applyBorder="1" applyAlignment="1">
      <alignment/>
    </xf>
    <xf numFmtId="10" fontId="108" fillId="0" borderId="11" xfId="89" applyNumberFormat="1" applyFont="1" applyFill="1" applyBorder="1" applyAlignment="1">
      <alignment/>
    </xf>
    <xf numFmtId="10" fontId="108" fillId="0" borderId="0" xfId="89" applyNumberFormat="1" applyFont="1" applyFill="1" applyAlignment="1">
      <alignment/>
    </xf>
    <xf numFmtId="10" fontId="108" fillId="0" borderId="0" xfId="0" applyNumberFormat="1" applyFont="1" applyFill="1" applyAlignment="1">
      <alignment/>
    </xf>
    <xf numFmtId="0" fontId="109" fillId="0" borderId="0" xfId="89" applyNumberFormat="1" applyFont="1" applyFill="1" applyAlignment="1">
      <alignment/>
    </xf>
    <xf numFmtId="0" fontId="108" fillId="0" borderId="14" xfId="0" applyFont="1" applyFill="1" applyBorder="1" applyAlignment="1">
      <alignment horizontal="center" vertical="center" wrapText="1"/>
    </xf>
    <xf numFmtId="0" fontId="109" fillId="0" borderId="14" xfId="0" applyFont="1" applyFill="1" applyBorder="1" applyAlignment="1">
      <alignment horizontal="center" vertical="center" wrapText="1"/>
    </xf>
    <xf numFmtId="165" fontId="108" fillId="0" borderId="16" xfId="45" applyNumberFormat="1" applyFont="1" applyFill="1" applyBorder="1" applyAlignment="1">
      <alignment horizontal="center" vertical="center"/>
    </xf>
    <xf numFmtId="165" fontId="109" fillId="0" borderId="19" xfId="42" applyNumberFormat="1" applyFont="1" applyFill="1" applyBorder="1" applyAlignment="1">
      <alignment/>
    </xf>
    <xf numFmtId="165" fontId="109" fillId="0" borderId="0" xfId="42" applyNumberFormat="1" applyFont="1" applyFill="1" applyAlignment="1">
      <alignment/>
    </xf>
    <xf numFmtId="167" fontId="109" fillId="0" borderId="10" xfId="89" applyNumberFormat="1" applyFont="1" applyFill="1" applyBorder="1" applyAlignment="1">
      <alignment/>
    </xf>
    <xf numFmtId="167" fontId="109" fillId="0" borderId="11" xfId="89" applyNumberFormat="1" applyFont="1" applyFill="1" applyBorder="1" applyAlignment="1">
      <alignment/>
    </xf>
    <xf numFmtId="167" fontId="108" fillId="0" borderId="10" xfId="89" applyNumberFormat="1" applyFont="1" applyFill="1" applyBorder="1" applyAlignment="1">
      <alignment/>
    </xf>
    <xf numFmtId="167" fontId="108" fillId="0" borderId="11" xfId="89" applyNumberFormat="1" applyFont="1" applyFill="1" applyBorder="1" applyAlignment="1">
      <alignment/>
    </xf>
    <xf numFmtId="0" fontId="109" fillId="0" borderId="30" xfId="0" applyFont="1" applyFill="1" applyBorder="1" applyAlignment="1">
      <alignment horizontal="center"/>
    </xf>
    <xf numFmtId="0" fontId="109" fillId="0" borderId="81" xfId="0" applyFont="1" applyFill="1" applyBorder="1" applyAlignment="1">
      <alignment horizontal="center"/>
    </xf>
    <xf numFmtId="165" fontId="109" fillId="0" borderId="12" xfId="42" applyNumberFormat="1" applyFont="1" applyFill="1" applyBorder="1" applyAlignment="1">
      <alignment/>
    </xf>
    <xf numFmtId="165" fontId="109" fillId="0" borderId="31" xfId="42" applyNumberFormat="1" applyFont="1" applyFill="1" applyBorder="1" applyAlignment="1">
      <alignment/>
    </xf>
    <xf numFmtId="165" fontId="109" fillId="0" borderId="13" xfId="42" applyNumberFormat="1" applyFont="1" applyFill="1" applyBorder="1" applyAlignment="1">
      <alignment/>
    </xf>
    <xf numFmtId="0" fontId="109" fillId="0" borderId="33" xfId="0" applyFont="1" applyFill="1" applyBorder="1" applyAlignment="1">
      <alignment horizontal="center"/>
    </xf>
    <xf numFmtId="0" fontId="108" fillId="0" borderId="0" xfId="0" applyFont="1" applyFill="1" applyBorder="1" applyAlignment="1">
      <alignment/>
    </xf>
    <xf numFmtId="0" fontId="109" fillId="0" borderId="48" xfId="0" applyFont="1" applyFill="1" applyBorder="1" applyAlignment="1">
      <alignment horizontal="center"/>
    </xf>
    <xf numFmtId="165" fontId="108" fillId="0" borderId="42" xfId="42" applyNumberFormat="1" applyFont="1" applyFill="1" applyBorder="1" applyAlignment="1">
      <alignment/>
    </xf>
    <xf numFmtId="165" fontId="108" fillId="0" borderId="0" xfId="42" applyNumberFormat="1" applyFont="1" applyFill="1" applyBorder="1" applyAlignment="1">
      <alignment/>
    </xf>
    <xf numFmtId="165" fontId="108" fillId="0" borderId="44" xfId="42" applyNumberFormat="1" applyFont="1" applyFill="1" applyBorder="1" applyAlignment="1">
      <alignment/>
    </xf>
    <xf numFmtId="165" fontId="108" fillId="0" borderId="46" xfId="42" applyNumberFormat="1" applyFont="1" applyFill="1" applyBorder="1" applyAlignment="1">
      <alignment/>
    </xf>
    <xf numFmtId="165" fontId="108" fillId="0" borderId="49" xfId="42" applyNumberFormat="1" applyFont="1" applyFill="1" applyBorder="1" applyAlignment="1">
      <alignment/>
    </xf>
    <xf numFmtId="9" fontId="109" fillId="0" borderId="14" xfId="89" applyFont="1" applyFill="1" applyBorder="1" applyAlignment="1">
      <alignment horizontal="center"/>
    </xf>
    <xf numFmtId="165" fontId="13" fillId="0" borderId="10" xfId="42" applyNumberFormat="1" applyFont="1" applyFill="1" applyBorder="1" applyAlignment="1">
      <alignment/>
    </xf>
    <xf numFmtId="165" fontId="13" fillId="38" borderId="10" xfId="42" applyNumberFormat="1" applyFont="1" applyFill="1" applyBorder="1" applyAlignment="1">
      <alignment/>
    </xf>
    <xf numFmtId="165" fontId="13" fillId="0" borderId="11" xfId="42" applyNumberFormat="1" applyFont="1" applyFill="1" applyBorder="1" applyAlignment="1">
      <alignment/>
    </xf>
    <xf numFmtId="165" fontId="108" fillId="0" borderId="0" xfId="42" applyNumberFormat="1" applyFont="1" applyFill="1" applyAlignment="1">
      <alignment/>
    </xf>
    <xf numFmtId="164" fontId="13" fillId="0" borderId="12" xfId="42" applyNumberFormat="1" applyFont="1" applyFill="1" applyBorder="1" applyAlignment="1">
      <alignment/>
    </xf>
    <xf numFmtId="165" fontId="13" fillId="0" borderId="13" xfId="42" applyNumberFormat="1" applyFont="1" applyFill="1" applyBorder="1" applyAlignment="1">
      <alignment/>
    </xf>
    <xf numFmtId="0" fontId="109" fillId="0" borderId="0" xfId="0" applyFont="1" applyFill="1" applyAlignment="1">
      <alignment horizontal="center"/>
    </xf>
    <xf numFmtId="3" fontId="109" fillId="0" borderId="0" xfId="0" applyNumberFormat="1" applyFont="1" applyFill="1" applyAlignment="1">
      <alignment/>
    </xf>
    <xf numFmtId="0" fontId="4" fillId="38" borderId="0" xfId="78" applyFont="1" applyFill="1" applyAlignment="1">
      <alignment vertical="center"/>
      <protection/>
    </xf>
    <xf numFmtId="168" fontId="14" fillId="38" borderId="0" xfId="78" applyNumberFormat="1" applyFont="1" applyFill="1" applyAlignment="1">
      <alignment horizontal="center" vertical="center"/>
      <protection/>
    </xf>
    <xf numFmtId="0" fontId="14" fillId="38" borderId="0" xfId="78" applyFont="1" applyFill="1" applyAlignment="1">
      <alignment vertical="center"/>
      <protection/>
    </xf>
    <xf numFmtId="0" fontId="32" fillId="38" borderId="0" xfId="78" applyFont="1" applyFill="1" applyAlignment="1">
      <alignment vertical="center"/>
      <protection/>
    </xf>
    <xf numFmtId="4" fontId="32" fillId="38" borderId="0" xfId="78" applyNumberFormat="1" applyFont="1" applyFill="1" applyAlignment="1">
      <alignment vertical="center"/>
      <protection/>
    </xf>
    <xf numFmtId="165" fontId="4" fillId="38" borderId="0" xfId="44" applyNumberFormat="1" applyFont="1" applyFill="1" applyAlignment="1">
      <alignment vertical="center"/>
    </xf>
    <xf numFmtId="0" fontId="14" fillId="38" borderId="0" xfId="78" applyFont="1" applyFill="1" applyAlignment="1">
      <alignment horizontal="center" vertical="center"/>
      <protection/>
    </xf>
    <xf numFmtId="14" fontId="22" fillId="0" borderId="82" xfId="78" applyNumberFormat="1" applyFont="1" applyFill="1" applyBorder="1" applyAlignment="1">
      <alignment horizontal="center" vertical="center"/>
      <protection/>
    </xf>
    <xf numFmtId="168" fontId="22" fillId="0" borderId="83" xfId="78" applyNumberFormat="1" applyFont="1" applyFill="1" applyBorder="1" applyAlignment="1">
      <alignment horizontal="center" vertical="center" wrapText="1"/>
      <protection/>
    </xf>
    <xf numFmtId="0" fontId="4" fillId="38" borderId="0" xfId="78" applyFont="1" applyFill="1" applyAlignment="1">
      <alignment horizontal="center" vertical="center"/>
      <protection/>
    </xf>
    <xf numFmtId="4" fontId="22" fillId="33" borderId="84" xfId="78" applyNumberFormat="1" applyFont="1" applyFill="1" applyBorder="1" applyAlignment="1">
      <alignment horizontal="center" vertical="center"/>
      <protection/>
    </xf>
    <xf numFmtId="4" fontId="22" fillId="33" borderId="84" xfId="78" applyNumberFormat="1" applyFont="1" applyFill="1" applyBorder="1" applyAlignment="1">
      <alignment horizontal="left" vertical="center"/>
      <protection/>
    </xf>
    <xf numFmtId="4" fontId="22" fillId="33" borderId="85" xfId="78" applyNumberFormat="1" applyFont="1" applyFill="1" applyBorder="1" applyAlignment="1">
      <alignment horizontal="center" vertical="center"/>
      <protection/>
    </xf>
    <xf numFmtId="4" fontId="22" fillId="33" borderId="86" xfId="78" applyNumberFormat="1" applyFont="1" applyFill="1" applyBorder="1" applyAlignment="1">
      <alignment horizontal="center" vertical="center" wrapText="1"/>
      <protection/>
    </xf>
    <xf numFmtId="4" fontId="22" fillId="38" borderId="18" xfId="78" applyNumberFormat="1" applyFont="1" applyFill="1" applyBorder="1" applyAlignment="1">
      <alignment vertical="center" wrapText="1"/>
      <protection/>
    </xf>
    <xf numFmtId="4" fontId="22" fillId="0" borderId="87" xfId="78" applyNumberFormat="1" applyFont="1" applyFill="1" applyBorder="1" applyAlignment="1">
      <alignment horizontal="center" vertical="center" wrapText="1"/>
      <protection/>
    </xf>
    <xf numFmtId="4" fontId="4" fillId="38" borderId="0" xfId="78" applyNumberFormat="1" applyFont="1" applyFill="1" applyAlignment="1">
      <alignment horizontal="center" vertical="center"/>
      <protection/>
    </xf>
    <xf numFmtId="1" fontId="13" fillId="38" borderId="88" xfId="78" applyNumberFormat="1" applyFont="1" applyFill="1" applyBorder="1" applyAlignment="1">
      <alignment vertical="center" wrapText="1"/>
      <protection/>
    </xf>
    <xf numFmtId="1" fontId="13" fillId="38" borderId="89" xfId="78" applyNumberFormat="1" applyFont="1" applyFill="1" applyBorder="1" applyAlignment="1">
      <alignment horizontal="center" vertical="center" wrapText="1"/>
      <protection/>
    </xf>
    <xf numFmtId="4" fontId="13" fillId="38" borderId="90" xfId="78" applyNumberFormat="1" applyFont="1" applyFill="1" applyBorder="1" applyAlignment="1">
      <alignment horizontal="center" vertical="center" wrapText="1"/>
      <protection/>
    </xf>
    <xf numFmtId="4" fontId="13" fillId="0" borderId="91" xfId="64" applyNumberFormat="1" applyFont="1" applyFill="1" applyBorder="1" applyAlignment="1">
      <alignment horizontal="center" vertical="center"/>
    </xf>
    <xf numFmtId="4" fontId="13" fillId="0" borderId="92" xfId="78" applyNumberFormat="1" applyFont="1" applyFill="1" applyBorder="1" applyAlignment="1">
      <alignment horizontal="center" vertical="center" wrapText="1"/>
      <protection/>
    </xf>
    <xf numFmtId="1" fontId="13" fillId="38" borderId="93" xfId="78" applyNumberFormat="1" applyFont="1" applyFill="1" applyBorder="1" applyAlignment="1">
      <alignment vertical="center" wrapText="1"/>
      <protection/>
    </xf>
    <xf numFmtId="1" fontId="13" fillId="38" borderId="94" xfId="78" applyNumberFormat="1" applyFont="1" applyFill="1" applyBorder="1" applyAlignment="1">
      <alignment horizontal="center" vertical="center" wrapText="1"/>
      <protection/>
    </xf>
    <xf numFmtId="4" fontId="13" fillId="38" borderId="95" xfId="78" applyNumberFormat="1" applyFont="1" applyFill="1" applyBorder="1" applyAlignment="1">
      <alignment horizontal="center" vertical="center" wrapText="1"/>
      <protection/>
    </xf>
    <xf numFmtId="4" fontId="13" fillId="0" borderId="96" xfId="64" applyNumberFormat="1" applyFont="1" applyFill="1" applyBorder="1" applyAlignment="1">
      <alignment horizontal="center" vertical="center"/>
    </xf>
    <xf numFmtId="4" fontId="13" fillId="0" borderId="97" xfId="78" applyNumberFormat="1" applyFont="1" applyFill="1" applyBorder="1" applyAlignment="1">
      <alignment horizontal="center" vertical="center" wrapText="1"/>
      <protection/>
    </xf>
    <xf numFmtId="1" fontId="13" fillId="38" borderId="98" xfId="78" applyNumberFormat="1" applyFont="1" applyFill="1" applyBorder="1" applyAlignment="1">
      <alignment vertical="center" wrapText="1"/>
      <protection/>
    </xf>
    <xf numFmtId="1" fontId="13" fillId="38" borderId="99" xfId="78" applyNumberFormat="1" applyFont="1" applyFill="1" applyBorder="1" applyAlignment="1">
      <alignment horizontal="center" vertical="center" wrapText="1"/>
      <protection/>
    </xf>
    <xf numFmtId="4" fontId="13" fillId="38" borderId="100" xfId="78" applyNumberFormat="1" applyFont="1" applyFill="1" applyBorder="1" applyAlignment="1">
      <alignment horizontal="center" vertical="center" wrapText="1"/>
      <protection/>
    </xf>
    <xf numFmtId="4" fontId="13" fillId="0" borderId="101" xfId="64" applyNumberFormat="1" applyFont="1" applyFill="1" applyBorder="1" applyAlignment="1">
      <alignment horizontal="center" vertical="center"/>
    </xf>
    <xf numFmtId="4" fontId="13" fillId="0" borderId="102" xfId="78" applyNumberFormat="1" applyFont="1" applyFill="1" applyBorder="1" applyAlignment="1">
      <alignment horizontal="center" vertical="center" wrapText="1"/>
      <protection/>
    </xf>
    <xf numFmtId="4" fontId="22" fillId="0" borderId="18" xfId="78" applyNumberFormat="1" applyFont="1" applyFill="1" applyBorder="1" applyAlignment="1">
      <alignment horizontal="center" vertical="center"/>
      <protection/>
    </xf>
    <xf numFmtId="4" fontId="22" fillId="0" borderId="10" xfId="64" applyNumberFormat="1" applyFont="1" applyFill="1" applyBorder="1" applyAlignment="1">
      <alignment horizontal="center" vertical="center"/>
    </xf>
    <xf numFmtId="4" fontId="22" fillId="0" borderId="19" xfId="64" applyNumberFormat="1" applyFont="1" applyFill="1" applyBorder="1" applyAlignment="1">
      <alignment horizontal="center" vertical="center"/>
    </xf>
    <xf numFmtId="4" fontId="22" fillId="38" borderId="68" xfId="78" applyNumberFormat="1" applyFont="1" applyFill="1" applyBorder="1" applyAlignment="1">
      <alignment horizontal="center" vertical="center" wrapText="1"/>
      <protection/>
    </xf>
    <xf numFmtId="4" fontId="22" fillId="0" borderId="103" xfId="78" applyNumberFormat="1" applyFont="1" applyFill="1" applyBorder="1" applyAlignment="1">
      <alignment horizontal="center" vertical="center" wrapText="1"/>
      <protection/>
    </xf>
    <xf numFmtId="1" fontId="13" fillId="38" borderId="104" xfId="78" applyNumberFormat="1" applyFont="1" applyFill="1" applyBorder="1" applyAlignment="1">
      <alignment vertical="center" wrapText="1"/>
      <protection/>
    </xf>
    <xf numFmtId="169" fontId="13" fillId="38" borderId="90" xfId="78" applyNumberFormat="1" applyFont="1" applyFill="1" applyBorder="1" applyAlignment="1">
      <alignment vertical="center" wrapText="1"/>
      <protection/>
    </xf>
    <xf numFmtId="3" fontId="13" fillId="0" borderId="91" xfId="78" applyNumberFormat="1" applyFont="1" applyFill="1" applyBorder="1" applyAlignment="1">
      <alignment horizontal="center" vertical="center"/>
      <protection/>
    </xf>
    <xf numFmtId="3" fontId="13" fillId="0" borderId="92" xfId="78" applyNumberFormat="1" applyFont="1" applyFill="1" applyBorder="1" applyAlignment="1">
      <alignment horizontal="center" vertical="center" wrapText="1"/>
      <protection/>
    </xf>
    <xf numFmtId="1" fontId="13" fillId="38" borderId="105" xfId="78" applyNumberFormat="1" applyFont="1" applyFill="1" applyBorder="1" applyAlignment="1">
      <alignment vertical="center" wrapText="1"/>
      <protection/>
    </xf>
    <xf numFmtId="169" fontId="13" fillId="38" borderId="95" xfId="78" applyNumberFormat="1" applyFont="1" applyFill="1" applyBorder="1" applyAlignment="1">
      <alignment vertical="center" wrapText="1"/>
      <protection/>
    </xf>
    <xf numFmtId="3" fontId="13" fillId="0" borderId="96" xfId="78" applyNumberFormat="1" applyFont="1" applyFill="1" applyBorder="1" applyAlignment="1">
      <alignment horizontal="center" vertical="center"/>
      <protection/>
    </xf>
    <xf numFmtId="3" fontId="13" fillId="0" borderId="97" xfId="78" applyNumberFormat="1" applyFont="1" applyFill="1" applyBorder="1" applyAlignment="1">
      <alignment horizontal="center" vertical="center" wrapText="1"/>
      <protection/>
    </xf>
    <xf numFmtId="1" fontId="13" fillId="38" borderId="106" xfId="78" applyNumberFormat="1" applyFont="1" applyFill="1" applyBorder="1" applyAlignment="1">
      <alignment vertical="center" wrapText="1"/>
      <protection/>
    </xf>
    <xf numFmtId="1" fontId="13" fillId="38" borderId="107" xfId="78" applyNumberFormat="1" applyFont="1" applyFill="1" applyBorder="1" applyAlignment="1">
      <alignment horizontal="center" vertical="center" wrapText="1"/>
      <protection/>
    </xf>
    <xf numFmtId="169" fontId="13" fillId="38" borderId="108" xfId="78" applyNumberFormat="1" applyFont="1" applyFill="1" applyBorder="1" applyAlignment="1">
      <alignment vertical="center" wrapText="1"/>
      <protection/>
    </xf>
    <xf numFmtId="3" fontId="13" fillId="0" borderId="109" xfId="78" applyNumberFormat="1" applyFont="1" applyFill="1" applyBorder="1" applyAlignment="1">
      <alignment horizontal="center" vertical="center"/>
      <protection/>
    </xf>
    <xf numFmtId="3" fontId="13" fillId="0" borderId="110" xfId="78" applyNumberFormat="1" applyFont="1" applyFill="1" applyBorder="1" applyAlignment="1">
      <alignment horizontal="center" vertical="center" wrapText="1"/>
      <protection/>
    </xf>
    <xf numFmtId="165" fontId="22" fillId="0" borderId="111" xfId="78" applyNumberFormat="1" applyFont="1" applyFill="1" applyBorder="1" applyAlignment="1">
      <alignment horizontal="center" vertical="center"/>
      <protection/>
    </xf>
    <xf numFmtId="165" fontId="22" fillId="0" borderId="83" xfId="78" applyNumberFormat="1" applyFont="1" applyFill="1" applyBorder="1" applyAlignment="1">
      <alignment horizontal="center" vertical="center"/>
      <protection/>
    </xf>
    <xf numFmtId="3" fontId="22" fillId="0" borderId="111" xfId="78" applyNumberFormat="1" applyFont="1" applyFill="1" applyBorder="1" applyAlignment="1">
      <alignment vertical="center" wrapText="1"/>
      <protection/>
    </xf>
    <xf numFmtId="3" fontId="22" fillId="0" borderId="83" xfId="78" applyNumberFormat="1" applyFont="1" applyFill="1" applyBorder="1" applyAlignment="1">
      <alignment vertical="center" wrapText="1"/>
      <protection/>
    </xf>
    <xf numFmtId="3" fontId="13" fillId="38" borderId="112" xfId="78" applyNumberFormat="1" applyFont="1" applyFill="1" applyBorder="1" applyAlignment="1">
      <alignment horizontal="center" vertical="center" wrapText="1"/>
      <protection/>
    </xf>
    <xf numFmtId="3" fontId="13" fillId="0" borderId="112" xfId="44" applyNumberFormat="1" applyFont="1" applyFill="1" applyBorder="1" applyAlignment="1">
      <alignment horizontal="center" vertical="center"/>
    </xf>
    <xf numFmtId="3" fontId="13" fillId="0" borderId="113" xfId="44" applyNumberFormat="1" applyFont="1" applyFill="1" applyBorder="1" applyAlignment="1">
      <alignment horizontal="center" vertical="center"/>
    </xf>
    <xf numFmtId="0" fontId="34" fillId="38" borderId="0" xfId="78" applyFont="1" applyFill="1" applyAlignment="1">
      <alignment horizontal="center" vertical="center"/>
      <protection/>
    </xf>
    <xf numFmtId="165" fontId="34" fillId="38" borderId="0" xfId="78" applyNumberFormat="1" applyFont="1" applyFill="1" applyAlignment="1">
      <alignment horizontal="center" vertical="center"/>
      <protection/>
    </xf>
    <xf numFmtId="3" fontId="13" fillId="38" borderId="114" xfId="78" applyNumberFormat="1" applyFont="1" applyFill="1" applyBorder="1" applyAlignment="1">
      <alignment horizontal="center" vertical="center" wrapText="1"/>
      <protection/>
    </xf>
    <xf numFmtId="3" fontId="13" fillId="0" borderId="115" xfId="44" applyNumberFormat="1" applyFont="1" applyFill="1" applyBorder="1" applyAlignment="1">
      <alignment horizontal="center" vertical="center"/>
    </xf>
    <xf numFmtId="3" fontId="13" fillId="0" borderId="116" xfId="44" applyNumberFormat="1" applyFont="1" applyFill="1" applyBorder="1" applyAlignment="1">
      <alignment horizontal="center" vertical="center"/>
    </xf>
    <xf numFmtId="0" fontId="14" fillId="0" borderId="0" xfId="78" applyFont="1" applyAlignment="1">
      <alignment vertical="center"/>
      <protection/>
    </xf>
    <xf numFmtId="4" fontId="22" fillId="33" borderId="18" xfId="78" applyNumberFormat="1" applyFont="1" applyFill="1" applyBorder="1" applyAlignment="1">
      <alignment horizontal="center" vertical="center"/>
      <protection/>
    </xf>
    <xf numFmtId="4" fontId="22" fillId="33" borderId="10" xfId="78" applyNumberFormat="1" applyFont="1" applyFill="1" applyBorder="1" applyAlignment="1">
      <alignment horizontal="center" vertical="center"/>
      <protection/>
    </xf>
    <xf numFmtId="4" fontId="22" fillId="33" borderId="87" xfId="78" applyNumberFormat="1" applyFont="1" applyFill="1" applyBorder="1" applyAlignment="1">
      <alignment horizontal="center" vertical="center" wrapText="1"/>
      <protection/>
    </xf>
    <xf numFmtId="4" fontId="22" fillId="33" borderId="18" xfId="78" applyNumberFormat="1" applyFont="1" applyFill="1" applyBorder="1" applyAlignment="1">
      <alignment horizontal="center" vertical="center" wrapText="1"/>
      <protection/>
    </xf>
    <xf numFmtId="3" fontId="22" fillId="33" borderId="87" xfId="78" applyNumberFormat="1" applyFont="1" applyFill="1" applyBorder="1" applyAlignment="1">
      <alignment horizontal="center" vertical="center" wrapText="1"/>
      <protection/>
    </xf>
    <xf numFmtId="0" fontId="13" fillId="38" borderId="88" xfId="78" applyFont="1" applyFill="1" applyBorder="1" applyAlignment="1">
      <alignment horizontal="right" vertical="center" wrapText="1"/>
      <protection/>
    </xf>
    <xf numFmtId="0" fontId="13" fillId="38" borderId="89" xfId="78" applyFont="1" applyFill="1" applyBorder="1" applyAlignment="1">
      <alignment horizontal="center" vertical="center" wrapText="1"/>
      <protection/>
    </xf>
    <xf numFmtId="4" fontId="13" fillId="0" borderId="91" xfId="78" applyNumberFormat="1" applyFont="1" applyFill="1" applyBorder="1" applyAlignment="1">
      <alignment horizontal="center" vertical="center"/>
      <protection/>
    </xf>
    <xf numFmtId="4" fontId="14" fillId="0" borderId="0" xfId="78" applyNumberFormat="1" applyFont="1" applyAlignment="1">
      <alignment vertical="center"/>
      <protection/>
    </xf>
    <xf numFmtId="0" fontId="13" fillId="38" borderId="93" xfId="78" applyFont="1" applyFill="1" applyBorder="1" applyAlignment="1">
      <alignment horizontal="right" vertical="center" wrapText="1"/>
      <protection/>
    </xf>
    <xf numFmtId="4" fontId="13" fillId="0" borderId="96" xfId="78" applyNumberFormat="1" applyFont="1" applyFill="1" applyBorder="1" applyAlignment="1">
      <alignment horizontal="center" vertical="center"/>
      <protection/>
    </xf>
    <xf numFmtId="4" fontId="13" fillId="0" borderId="95" xfId="78" applyNumberFormat="1" applyFont="1" applyFill="1" applyBorder="1" applyAlignment="1">
      <alignment horizontal="center" vertical="center" wrapText="1"/>
      <protection/>
    </xf>
    <xf numFmtId="0" fontId="13" fillId="38" borderId="98" xfId="78" applyFont="1" applyFill="1" applyBorder="1" applyAlignment="1">
      <alignment horizontal="right" vertical="center" wrapText="1"/>
      <protection/>
    </xf>
    <xf numFmtId="4" fontId="13" fillId="0" borderId="101" xfId="78" applyNumberFormat="1" applyFont="1" applyFill="1" applyBorder="1" applyAlignment="1">
      <alignment horizontal="center" vertical="center"/>
      <protection/>
    </xf>
    <xf numFmtId="3" fontId="13" fillId="0" borderId="102" xfId="78" applyNumberFormat="1" applyFont="1" applyFill="1" applyBorder="1" applyAlignment="1">
      <alignment horizontal="center" vertical="center" wrapText="1"/>
      <protection/>
    </xf>
    <xf numFmtId="3" fontId="22" fillId="0" borderId="51" xfId="78" applyNumberFormat="1" applyFont="1" applyFill="1" applyBorder="1" applyAlignment="1">
      <alignment horizontal="center" vertical="center"/>
      <protection/>
    </xf>
    <xf numFmtId="3" fontId="22" fillId="0" borderId="87" xfId="78" applyNumberFormat="1" applyFont="1" applyFill="1" applyBorder="1" applyAlignment="1">
      <alignment horizontal="center" vertical="center" wrapText="1"/>
      <protection/>
    </xf>
    <xf numFmtId="3" fontId="13" fillId="0" borderId="104" xfId="78" applyNumberFormat="1" applyFont="1" applyFill="1" applyBorder="1" applyAlignment="1">
      <alignment horizontal="right" vertical="center"/>
      <protection/>
    </xf>
    <xf numFmtId="3" fontId="13" fillId="0" borderId="89" xfId="78" applyNumberFormat="1" applyFont="1" applyFill="1" applyBorder="1" applyAlignment="1">
      <alignment horizontal="center" vertical="center"/>
      <protection/>
    </xf>
    <xf numFmtId="3" fontId="13" fillId="0" borderId="90" xfId="78" applyNumberFormat="1" applyFont="1" applyFill="1" applyBorder="1" applyAlignment="1">
      <alignment horizontal="center" vertical="center"/>
      <protection/>
    </xf>
    <xf numFmtId="3" fontId="13" fillId="0" borderId="105" xfId="78" applyNumberFormat="1" applyFont="1" applyFill="1" applyBorder="1" applyAlignment="1">
      <alignment horizontal="right" vertical="center"/>
      <protection/>
    </xf>
    <xf numFmtId="3" fontId="13" fillId="0" borderId="94" xfId="78" applyNumberFormat="1" applyFont="1" applyFill="1" applyBorder="1" applyAlignment="1">
      <alignment horizontal="center" vertical="center"/>
      <protection/>
    </xf>
    <xf numFmtId="3" fontId="13" fillId="0" borderId="95" xfId="78" applyNumberFormat="1" applyFont="1" applyFill="1" applyBorder="1" applyAlignment="1">
      <alignment horizontal="center" vertical="center"/>
      <protection/>
    </xf>
    <xf numFmtId="3" fontId="13" fillId="0" borderId="106" xfId="78" applyNumberFormat="1" applyFont="1" applyFill="1" applyBorder="1" applyAlignment="1">
      <alignment horizontal="right" vertical="center"/>
      <protection/>
    </xf>
    <xf numFmtId="3" fontId="13" fillId="0" borderId="107" xfId="78" applyNumberFormat="1" applyFont="1" applyFill="1" applyBorder="1" applyAlignment="1">
      <alignment horizontal="center" vertical="center"/>
      <protection/>
    </xf>
    <xf numFmtId="3" fontId="13" fillId="0" borderId="108" xfId="78" applyNumberFormat="1" applyFont="1" applyFill="1" applyBorder="1" applyAlignment="1">
      <alignment horizontal="center" vertical="center"/>
      <protection/>
    </xf>
    <xf numFmtId="3" fontId="22" fillId="33" borderId="111" xfId="78" applyNumberFormat="1" applyFont="1" applyFill="1" applyBorder="1" applyAlignment="1">
      <alignment horizontal="center" vertical="center"/>
      <protection/>
    </xf>
    <xf numFmtId="3" fontId="22" fillId="33" borderId="83" xfId="78" applyNumberFormat="1" applyFont="1" applyFill="1" applyBorder="1" applyAlignment="1">
      <alignment horizontal="center" vertical="center" wrapText="1"/>
      <protection/>
    </xf>
    <xf numFmtId="4" fontId="4" fillId="0" borderId="0" xfId="78" applyNumberFormat="1" applyFont="1">
      <alignment/>
      <protection/>
    </xf>
    <xf numFmtId="0" fontId="4" fillId="0" borderId="0" xfId="78" applyFont="1">
      <alignment/>
      <protection/>
    </xf>
    <xf numFmtId="3" fontId="22" fillId="0" borderId="111" xfId="78" applyNumberFormat="1" applyFont="1" applyFill="1" applyBorder="1" applyAlignment="1">
      <alignment horizontal="center" vertical="center"/>
      <protection/>
    </xf>
    <xf numFmtId="3" fontId="22" fillId="0" borderId="83" xfId="78" applyNumberFormat="1" applyFont="1" applyFill="1" applyBorder="1" applyAlignment="1">
      <alignment horizontal="center" vertical="center" wrapText="1"/>
      <protection/>
    </xf>
    <xf numFmtId="0" fontId="4" fillId="0" borderId="0" xfId="78" applyFont="1" applyAlignment="1">
      <alignment horizontal="left"/>
      <protection/>
    </xf>
    <xf numFmtId="165" fontId="4" fillId="0" borderId="0" xfId="78" applyNumberFormat="1" applyFont="1">
      <alignment/>
      <protection/>
    </xf>
    <xf numFmtId="3" fontId="4" fillId="0" borderId="0" xfId="78" applyNumberFormat="1" applyFont="1">
      <alignment/>
      <protection/>
    </xf>
    <xf numFmtId="3" fontId="4" fillId="0" borderId="0" xfId="78" applyNumberFormat="1" applyFont="1" applyAlignment="1">
      <alignment horizontal="center"/>
      <protection/>
    </xf>
    <xf numFmtId="0" fontId="4" fillId="0" borderId="0" xfId="78" applyFont="1" applyAlignment="1">
      <alignment horizontal="center"/>
      <protection/>
    </xf>
    <xf numFmtId="4" fontId="4" fillId="0" borderId="0" xfId="78" applyNumberFormat="1" applyFont="1" applyAlignment="1">
      <alignment horizontal="center"/>
      <protection/>
    </xf>
    <xf numFmtId="0" fontId="4" fillId="0" borderId="0" xfId="78" applyFont="1" applyFill="1">
      <alignment/>
      <protection/>
    </xf>
    <xf numFmtId="0" fontId="4" fillId="0" borderId="0" xfId="78" applyFont="1" applyFill="1" applyAlignment="1">
      <alignment horizontal="center"/>
      <protection/>
    </xf>
    <xf numFmtId="166" fontId="4" fillId="0" borderId="0" xfId="78" applyNumberFormat="1" applyFont="1" applyFill="1">
      <alignment/>
      <protection/>
    </xf>
    <xf numFmtId="166" fontId="14" fillId="0" borderId="0" xfId="64" applyFont="1" applyFill="1" applyAlignment="1">
      <alignment/>
    </xf>
    <xf numFmtId="0" fontId="14" fillId="0" borderId="0" xfId="78" applyFont="1" applyFill="1">
      <alignment/>
      <protection/>
    </xf>
    <xf numFmtId="166" fontId="4" fillId="0" borderId="0" xfId="78" applyNumberFormat="1" applyFont="1">
      <alignment/>
      <protection/>
    </xf>
    <xf numFmtId="166" fontId="4" fillId="0" borderId="0" xfId="78" applyNumberFormat="1" applyFont="1" applyAlignment="1">
      <alignment horizontal="center"/>
      <protection/>
    </xf>
    <xf numFmtId="0" fontId="5" fillId="39" borderId="45" xfId="0" applyFont="1" applyFill="1" applyBorder="1" applyAlignment="1">
      <alignment horizontal="center"/>
    </xf>
    <xf numFmtId="0" fontId="5" fillId="39" borderId="117" xfId="0" applyFont="1" applyFill="1" applyBorder="1" applyAlignment="1">
      <alignment horizontal="center"/>
    </xf>
    <xf numFmtId="0" fontId="5" fillId="39" borderId="30" xfId="0" applyFont="1" applyFill="1" applyBorder="1" applyAlignment="1">
      <alignment horizontal="center"/>
    </xf>
    <xf numFmtId="0" fontId="5" fillId="39" borderId="67" xfId="0" applyFont="1" applyFill="1" applyBorder="1" applyAlignment="1">
      <alignment horizontal="center"/>
    </xf>
    <xf numFmtId="165" fontId="5" fillId="39" borderId="40" xfId="42" applyNumberFormat="1" applyFont="1" applyFill="1" applyBorder="1" applyAlignment="1">
      <alignment horizontal="center"/>
    </xf>
    <xf numFmtId="165" fontId="5" fillId="39" borderId="67" xfId="42" applyNumberFormat="1" applyFont="1" applyFill="1" applyBorder="1" applyAlignment="1">
      <alignment horizontal="center"/>
    </xf>
    <xf numFmtId="165" fontId="5" fillId="39" borderId="81" xfId="42" applyNumberFormat="1" applyFont="1" applyFill="1" applyBorder="1" applyAlignment="1">
      <alignment horizontal="center"/>
    </xf>
    <xf numFmtId="0" fontId="12" fillId="33" borderId="40" xfId="0" applyFont="1" applyFill="1" applyBorder="1" applyAlignment="1">
      <alignment/>
    </xf>
    <xf numFmtId="0" fontId="12" fillId="0" borderId="45" xfId="0" applyFont="1" applyFill="1" applyBorder="1" applyAlignment="1">
      <alignment/>
    </xf>
    <xf numFmtId="0" fontId="12" fillId="0" borderId="47" xfId="0" applyFont="1" applyBorder="1" applyAlignment="1">
      <alignment horizontal="center"/>
    </xf>
    <xf numFmtId="165" fontId="12" fillId="0" borderId="27" xfId="42" applyNumberFormat="1" applyFont="1" applyBorder="1" applyAlignment="1">
      <alignment/>
    </xf>
    <xf numFmtId="165" fontId="12" fillId="0" borderId="117" xfId="42" applyNumberFormat="1" applyFont="1" applyBorder="1" applyAlignment="1">
      <alignment/>
    </xf>
    <xf numFmtId="165" fontId="4" fillId="0" borderId="27" xfId="42" applyNumberFormat="1" applyFont="1" applyBorder="1" applyAlignment="1">
      <alignment/>
    </xf>
    <xf numFmtId="165" fontId="4" fillId="0" borderId="61" xfId="42" applyNumberFormat="1" applyFont="1" applyBorder="1" applyAlignment="1">
      <alignment/>
    </xf>
    <xf numFmtId="165" fontId="12" fillId="0" borderId="39" xfId="0" applyNumberFormat="1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44" xfId="0" applyFont="1" applyBorder="1" applyAlignment="1">
      <alignment horizontal="center"/>
    </xf>
    <xf numFmtId="165" fontId="4" fillId="0" borderId="29" xfId="42" applyNumberFormat="1" applyFont="1" applyBorder="1" applyAlignment="1">
      <alignment/>
    </xf>
    <xf numFmtId="165" fontId="12" fillId="0" borderId="0" xfId="42" applyNumberFormat="1" applyFont="1" applyBorder="1" applyAlignment="1">
      <alignment/>
    </xf>
    <xf numFmtId="165" fontId="12" fillId="0" borderId="29" xfId="42" applyNumberFormat="1" applyFont="1" applyBorder="1" applyAlignment="1">
      <alignment/>
    </xf>
    <xf numFmtId="165" fontId="12" fillId="0" borderId="28" xfId="0" applyNumberFormat="1" applyFont="1" applyBorder="1" applyAlignment="1">
      <alignment/>
    </xf>
    <xf numFmtId="0" fontId="12" fillId="0" borderId="73" xfId="0" applyFont="1" applyBorder="1" applyAlignment="1">
      <alignment/>
    </xf>
    <xf numFmtId="0" fontId="12" fillId="0" borderId="31" xfId="0" applyFont="1" applyBorder="1" applyAlignment="1">
      <alignment horizontal="center"/>
    </xf>
    <xf numFmtId="165" fontId="4" fillId="0" borderId="40" xfId="42" applyNumberFormat="1" applyFont="1" applyBorder="1" applyAlignment="1">
      <alignment/>
    </xf>
    <xf numFmtId="165" fontId="12" fillId="0" borderId="67" xfId="42" applyNumberFormat="1" applyFont="1" applyBorder="1" applyAlignment="1">
      <alignment/>
    </xf>
    <xf numFmtId="165" fontId="12" fillId="0" borderId="40" xfId="42" applyNumberFormat="1" applyFont="1" applyBorder="1" applyAlignment="1">
      <alignment/>
    </xf>
    <xf numFmtId="165" fontId="4" fillId="0" borderId="67" xfId="42" applyNumberFormat="1" applyFont="1" applyBorder="1" applyAlignment="1">
      <alignment/>
    </xf>
    <xf numFmtId="165" fontId="12" fillId="0" borderId="40" xfId="0" applyNumberFormat="1" applyFont="1" applyBorder="1" applyAlignment="1">
      <alignment/>
    </xf>
    <xf numFmtId="0" fontId="12" fillId="0" borderId="17" xfId="0" applyFont="1" applyBorder="1" applyAlignment="1">
      <alignment horizontal="center"/>
    </xf>
    <xf numFmtId="165" fontId="12" fillId="0" borderId="118" xfId="42" applyNumberFormat="1" applyFont="1" applyBorder="1" applyAlignment="1">
      <alignment/>
    </xf>
    <xf numFmtId="0" fontId="12" fillId="0" borderId="19" xfId="0" applyFont="1" applyBorder="1" applyAlignment="1">
      <alignment horizontal="center"/>
    </xf>
    <xf numFmtId="165" fontId="12" fillId="0" borderId="119" xfId="42" applyNumberFormat="1" applyFont="1" applyBorder="1" applyAlignment="1">
      <alignment/>
    </xf>
    <xf numFmtId="165" fontId="12" fillId="0" borderId="120" xfId="42" applyNumberFormat="1" applyFont="1" applyBorder="1" applyAlignment="1">
      <alignment/>
    </xf>
    <xf numFmtId="165" fontId="4" fillId="0" borderId="119" xfId="42" applyNumberFormat="1" applyFont="1" applyBorder="1" applyAlignment="1">
      <alignment/>
    </xf>
    <xf numFmtId="0" fontId="12" fillId="0" borderId="57" xfId="0" applyFont="1" applyBorder="1" applyAlignment="1">
      <alignment horizontal="center"/>
    </xf>
    <xf numFmtId="165" fontId="12" fillId="0" borderId="121" xfId="42" applyNumberFormat="1" applyFont="1" applyBorder="1" applyAlignment="1">
      <alignment/>
    </xf>
    <xf numFmtId="0" fontId="12" fillId="40" borderId="45" xfId="0" applyFont="1" applyFill="1" applyBorder="1" applyAlignment="1">
      <alignment/>
    </xf>
    <xf numFmtId="0" fontId="12" fillId="40" borderId="47" xfId="0" applyFont="1" applyFill="1" applyBorder="1" applyAlignment="1">
      <alignment horizontal="center"/>
    </xf>
    <xf numFmtId="165" fontId="4" fillId="40" borderId="39" xfId="42" applyNumberFormat="1" applyFont="1" applyFill="1" applyBorder="1" applyAlignment="1">
      <alignment/>
    </xf>
    <xf numFmtId="165" fontId="4" fillId="40" borderId="122" xfId="42" applyNumberFormat="1" applyFont="1" applyFill="1" applyBorder="1" applyAlignment="1">
      <alignment/>
    </xf>
    <xf numFmtId="165" fontId="4" fillId="40" borderId="61" xfId="42" applyNumberFormat="1" applyFont="1" applyFill="1" applyBorder="1" applyAlignment="1">
      <alignment/>
    </xf>
    <xf numFmtId="165" fontId="12" fillId="40" borderId="39" xfId="42" applyNumberFormat="1" applyFont="1" applyFill="1" applyBorder="1" applyAlignment="1">
      <alignment/>
    </xf>
    <xf numFmtId="0" fontId="12" fillId="40" borderId="20" xfId="0" applyFont="1" applyFill="1" applyBorder="1" applyAlignment="1">
      <alignment/>
    </xf>
    <xf numFmtId="0" fontId="12" fillId="40" borderId="11" xfId="0" applyFont="1" applyFill="1" applyBorder="1" applyAlignment="1">
      <alignment horizontal="center"/>
    </xf>
    <xf numFmtId="165" fontId="4" fillId="40" borderId="28" xfId="42" applyNumberFormat="1" applyFont="1" applyFill="1" applyBorder="1" applyAlignment="1">
      <alignment/>
    </xf>
    <xf numFmtId="165" fontId="4" fillId="40" borderId="79" xfId="42" applyNumberFormat="1" applyFont="1" applyFill="1" applyBorder="1" applyAlignment="1">
      <alignment/>
    </xf>
    <xf numFmtId="0" fontId="12" fillId="40" borderId="30" xfId="0" applyFont="1" applyFill="1" applyBorder="1" applyAlignment="1">
      <alignment/>
    </xf>
    <xf numFmtId="0" fontId="12" fillId="40" borderId="13" xfId="0" applyFont="1" applyFill="1" applyBorder="1" applyAlignment="1">
      <alignment horizontal="center"/>
    </xf>
    <xf numFmtId="37" fontId="4" fillId="40" borderId="40" xfId="42" applyNumberFormat="1" applyFont="1" applyFill="1" applyBorder="1" applyAlignment="1">
      <alignment/>
    </xf>
    <xf numFmtId="37" fontId="4" fillId="40" borderId="121" xfId="42" applyNumberFormat="1" applyFont="1" applyFill="1" applyBorder="1" applyAlignment="1">
      <alignment/>
    </xf>
    <xf numFmtId="37" fontId="12" fillId="40" borderId="119" xfId="42" applyNumberFormat="1" applyFont="1" applyFill="1" applyBorder="1" applyAlignment="1">
      <alignment/>
    </xf>
    <xf numFmtId="0" fontId="12" fillId="0" borderId="45" xfId="0" applyFont="1" applyBorder="1" applyAlignment="1">
      <alignment/>
    </xf>
    <xf numFmtId="0" fontId="12" fillId="0" borderId="49" xfId="0" applyFont="1" applyBorder="1" applyAlignment="1">
      <alignment horizontal="left"/>
    </xf>
    <xf numFmtId="165" fontId="12" fillId="0" borderId="123" xfId="42" applyNumberFormat="1" applyFont="1" applyBorder="1" applyAlignment="1">
      <alignment/>
    </xf>
    <xf numFmtId="43" fontId="4" fillId="0" borderId="28" xfId="42" applyNumberFormat="1" applyFont="1" applyBorder="1" applyAlignment="1">
      <alignment horizontal="right"/>
    </xf>
    <xf numFmtId="43" fontId="12" fillId="0" borderId="28" xfId="42" applyNumberFormat="1" applyFont="1" applyBorder="1" applyAlignment="1">
      <alignment horizontal="right"/>
    </xf>
    <xf numFmtId="43" fontId="12" fillId="0" borderId="79" xfId="42" applyNumberFormat="1" applyFont="1" applyBorder="1" applyAlignment="1">
      <alignment horizontal="right"/>
    </xf>
    <xf numFmtId="43" fontId="4" fillId="0" borderId="66" xfId="42" applyNumberFormat="1" applyFont="1" applyBorder="1" applyAlignment="1">
      <alignment horizontal="right"/>
    </xf>
    <xf numFmtId="0" fontId="12" fillId="0" borderId="30" xfId="0" applyFont="1" applyBorder="1" applyAlignment="1">
      <alignment/>
    </xf>
    <xf numFmtId="0" fontId="35" fillId="41" borderId="45" xfId="0" applyFont="1" applyFill="1" applyBorder="1" applyAlignment="1">
      <alignment horizontal="right"/>
    </xf>
    <xf numFmtId="0" fontId="12" fillId="41" borderId="47" xfId="0" applyFont="1" applyFill="1" applyBorder="1" applyAlignment="1">
      <alignment horizontal="center"/>
    </xf>
    <xf numFmtId="165" fontId="12" fillId="40" borderId="27" xfId="42" applyNumberFormat="1" applyFont="1" applyFill="1" applyBorder="1" applyAlignment="1">
      <alignment/>
    </xf>
    <xf numFmtId="165" fontId="12" fillId="40" borderId="80" xfId="42" applyNumberFormat="1" applyFont="1" applyFill="1" applyBorder="1" applyAlignment="1">
      <alignment/>
    </xf>
    <xf numFmtId="165" fontId="12" fillId="40" borderId="117" xfId="42" applyNumberFormat="1" applyFont="1" applyFill="1" applyBorder="1" applyAlignment="1">
      <alignment/>
    </xf>
    <xf numFmtId="165" fontId="4" fillId="40" borderId="27" xfId="42" applyNumberFormat="1" applyFont="1" applyFill="1" applyBorder="1" applyAlignment="1">
      <alignment/>
    </xf>
    <xf numFmtId="165" fontId="4" fillId="40" borderId="117" xfId="42" applyNumberFormat="1" applyFont="1" applyFill="1" applyBorder="1" applyAlignment="1">
      <alignment/>
    </xf>
    <xf numFmtId="0" fontId="35" fillId="41" borderId="20" xfId="0" applyFont="1" applyFill="1" applyBorder="1" applyAlignment="1">
      <alignment horizontal="right"/>
    </xf>
    <xf numFmtId="0" fontId="12" fillId="41" borderId="19" xfId="0" applyFont="1" applyFill="1" applyBorder="1" applyAlignment="1">
      <alignment horizontal="center"/>
    </xf>
    <xf numFmtId="165" fontId="12" fillId="41" borderId="28" xfId="42" applyNumberFormat="1" applyFont="1" applyFill="1" applyBorder="1" applyAlignment="1">
      <alignment/>
    </xf>
    <xf numFmtId="165" fontId="12" fillId="41" borderId="66" xfId="42" applyNumberFormat="1" applyFont="1" applyFill="1" applyBorder="1" applyAlignment="1">
      <alignment/>
    </xf>
    <xf numFmtId="165" fontId="4" fillId="41" borderId="14" xfId="42" applyNumberFormat="1" applyFont="1" applyFill="1" applyBorder="1" applyAlignment="1">
      <alignment/>
    </xf>
    <xf numFmtId="0" fontId="35" fillId="41" borderId="75" xfId="0" applyFont="1" applyFill="1" applyBorder="1" applyAlignment="1">
      <alignment horizontal="right"/>
    </xf>
    <xf numFmtId="0" fontId="12" fillId="41" borderId="22" xfId="0" applyFont="1" applyFill="1" applyBorder="1" applyAlignment="1">
      <alignment horizontal="center"/>
    </xf>
    <xf numFmtId="165" fontId="12" fillId="0" borderId="119" xfId="42" applyNumberFormat="1" applyFont="1" applyFill="1" applyBorder="1" applyAlignment="1">
      <alignment/>
    </xf>
    <xf numFmtId="165" fontId="12" fillId="0" borderId="62" xfId="42" applyNumberFormat="1" applyFont="1" applyFill="1" applyBorder="1" applyAlignment="1">
      <alignment/>
    </xf>
    <xf numFmtId="165" fontId="4" fillId="41" borderId="119" xfId="42" applyNumberFormat="1" applyFont="1" applyFill="1" applyBorder="1" applyAlignment="1">
      <alignment/>
    </xf>
    <xf numFmtId="165" fontId="4" fillId="41" borderId="62" xfId="42" applyNumberFormat="1" applyFont="1" applyFill="1" applyBorder="1" applyAlignment="1">
      <alignment/>
    </xf>
    <xf numFmtId="1" fontId="12" fillId="0" borderId="119" xfId="42" applyNumberFormat="1" applyFont="1" applyFill="1" applyBorder="1" applyAlignment="1">
      <alignment/>
    </xf>
    <xf numFmtId="1" fontId="12" fillId="0" borderId="120" xfId="42" applyNumberFormat="1" applyFont="1" applyFill="1" applyBorder="1" applyAlignment="1">
      <alignment/>
    </xf>
    <xf numFmtId="1" fontId="12" fillId="0" borderId="28" xfId="0" applyNumberFormat="1" applyFont="1" applyBorder="1" applyAlignment="1">
      <alignment/>
    </xf>
    <xf numFmtId="0" fontId="35" fillId="41" borderId="30" xfId="0" applyFont="1" applyFill="1" applyBorder="1" applyAlignment="1">
      <alignment horizontal="right"/>
    </xf>
    <xf numFmtId="0" fontId="12" fillId="41" borderId="13" xfId="0" applyFont="1" applyFill="1" applyBorder="1" applyAlignment="1">
      <alignment/>
    </xf>
    <xf numFmtId="165" fontId="14" fillId="41" borderId="40" xfId="42" applyNumberFormat="1" applyFont="1" applyFill="1" applyBorder="1" applyAlignment="1">
      <alignment/>
    </xf>
    <xf numFmtId="165" fontId="14" fillId="41" borderId="121" xfId="42" applyNumberFormat="1" applyFont="1" applyFill="1" applyBorder="1" applyAlignment="1">
      <alignment/>
    </xf>
    <xf numFmtId="165" fontId="14" fillId="41" borderId="119" xfId="42" applyNumberFormat="1" applyFont="1" applyFill="1" applyBorder="1" applyAlignment="1">
      <alignment/>
    </xf>
    <xf numFmtId="0" fontId="36" fillId="41" borderId="38" xfId="0" applyFont="1" applyFill="1" applyBorder="1" applyAlignment="1">
      <alignment horizontal="right"/>
    </xf>
    <xf numFmtId="0" fontId="36" fillId="41" borderId="49" xfId="0" applyFont="1" applyFill="1" applyBorder="1" applyAlignment="1">
      <alignment horizontal="right"/>
    </xf>
    <xf numFmtId="165" fontId="121" fillId="41" borderId="122" xfId="42" applyNumberFormat="1" applyFont="1" applyFill="1" applyBorder="1" applyAlignment="1">
      <alignment/>
    </xf>
    <xf numFmtId="165" fontId="121" fillId="41" borderId="61" xfId="42" applyNumberFormat="1" applyFont="1" applyFill="1" applyBorder="1" applyAlignment="1">
      <alignment/>
    </xf>
    <xf numFmtId="165" fontId="121" fillId="41" borderId="39" xfId="42" applyNumberFormat="1" applyFont="1" applyFill="1" applyBorder="1" applyAlignment="1">
      <alignment/>
    </xf>
    <xf numFmtId="165" fontId="121" fillId="41" borderId="27" xfId="42" applyNumberFormat="1" applyFont="1" applyFill="1" applyBorder="1" applyAlignment="1">
      <alignment/>
    </xf>
    <xf numFmtId="0" fontId="36" fillId="41" borderId="20" xfId="0" applyFont="1" applyFill="1" applyBorder="1" applyAlignment="1">
      <alignment horizontal="right"/>
    </xf>
    <xf numFmtId="0" fontId="36" fillId="41" borderId="11" xfId="0" applyFont="1" applyFill="1" applyBorder="1" applyAlignment="1">
      <alignment horizontal="right"/>
    </xf>
    <xf numFmtId="165" fontId="121" fillId="41" borderId="79" xfId="42" applyNumberFormat="1" applyFont="1" applyFill="1" applyBorder="1" applyAlignment="1">
      <alignment/>
    </xf>
    <xf numFmtId="165" fontId="121" fillId="41" borderId="66" xfId="42" applyNumberFormat="1" applyFont="1" applyFill="1" applyBorder="1" applyAlignment="1">
      <alignment/>
    </xf>
    <xf numFmtId="165" fontId="121" fillId="41" borderId="28" xfId="42" applyNumberFormat="1" applyFont="1" applyFill="1" applyBorder="1" applyAlignment="1">
      <alignment/>
    </xf>
    <xf numFmtId="0" fontId="36" fillId="41" borderId="30" xfId="0" applyFont="1" applyFill="1" applyBorder="1" applyAlignment="1">
      <alignment horizontal="right"/>
    </xf>
    <xf numFmtId="0" fontId="36" fillId="41" borderId="13" xfId="0" applyFont="1" applyFill="1" applyBorder="1" applyAlignment="1">
      <alignment horizontal="right"/>
    </xf>
    <xf numFmtId="165" fontId="121" fillId="41" borderId="121" xfId="42" applyNumberFormat="1" applyFont="1" applyFill="1" applyBorder="1" applyAlignment="1">
      <alignment/>
    </xf>
    <xf numFmtId="165" fontId="121" fillId="41" borderId="67" xfId="42" applyNumberFormat="1" applyFont="1" applyFill="1" applyBorder="1" applyAlignment="1">
      <alignment/>
    </xf>
    <xf numFmtId="165" fontId="121" fillId="41" borderId="40" xfId="42" applyNumberFormat="1" applyFont="1" applyFill="1" applyBorder="1" applyAlignment="1">
      <alignment/>
    </xf>
    <xf numFmtId="0" fontId="110" fillId="0" borderId="34" xfId="0" applyFont="1" applyBorder="1" applyAlignment="1">
      <alignment/>
    </xf>
    <xf numFmtId="3" fontId="111" fillId="0" borderId="10" xfId="0" applyNumberFormat="1" applyFont="1" applyBorder="1" applyAlignment="1">
      <alignment horizontal="right" vertical="center" wrapText="1"/>
    </xf>
    <xf numFmtId="3" fontId="111" fillId="0" borderId="0" xfId="0" applyNumberFormat="1" applyFont="1" applyBorder="1" applyAlignment="1">
      <alignment horizontal="center" vertical="center" wrapText="1"/>
    </xf>
    <xf numFmtId="3" fontId="111" fillId="33" borderId="10" xfId="0" applyNumberFormat="1" applyFont="1" applyFill="1" applyBorder="1" applyAlignment="1">
      <alignment horizontal="center" vertical="center" wrapText="1"/>
    </xf>
    <xf numFmtId="3" fontId="111" fillId="33" borderId="10" xfId="0" applyNumberFormat="1" applyFont="1" applyFill="1" applyBorder="1" applyAlignment="1">
      <alignment vertical="center" wrapText="1"/>
    </xf>
    <xf numFmtId="3" fontId="111" fillId="0" borderId="18" xfId="0" applyNumberFormat="1" applyFont="1" applyFill="1" applyBorder="1" applyAlignment="1">
      <alignment horizontal="center" vertical="center" wrapText="1"/>
    </xf>
    <xf numFmtId="3" fontId="111" fillId="0" borderId="10" xfId="78" applyNumberFormat="1" applyFont="1" applyFill="1" applyBorder="1" applyAlignment="1">
      <alignment horizontal="center"/>
      <protection/>
    </xf>
    <xf numFmtId="3" fontId="111" fillId="0" borderId="10" xfId="0" applyNumberFormat="1" applyFont="1" applyFill="1" applyBorder="1" applyAlignment="1">
      <alignment horizontal="center" vertical="center"/>
    </xf>
    <xf numFmtId="3" fontId="111" fillId="0" borderId="10" xfId="0" applyNumberFormat="1" applyFont="1" applyFill="1" applyBorder="1" applyAlignment="1">
      <alignment horizontal="center" vertical="center" wrapText="1"/>
    </xf>
    <xf numFmtId="3" fontId="111" fillId="0" borderId="10" xfId="78" applyNumberFormat="1" applyFont="1" applyFill="1" applyBorder="1" applyAlignment="1">
      <alignment horizontal="center" vertical="center"/>
      <protection/>
    </xf>
    <xf numFmtId="3" fontId="111" fillId="42" borderId="23" xfId="0" applyNumberFormat="1" applyFont="1" applyFill="1" applyBorder="1" applyAlignment="1">
      <alignment horizontal="center"/>
    </xf>
    <xf numFmtId="3" fontId="111" fillId="33" borderId="10" xfId="0" applyNumberFormat="1" applyFont="1" applyFill="1" applyBorder="1" applyAlignment="1">
      <alignment horizontal="left" vertical="center" wrapText="1"/>
    </xf>
    <xf numFmtId="3" fontId="111" fillId="0" borderId="0" xfId="0" applyNumberFormat="1" applyFont="1" applyFill="1" applyBorder="1" applyAlignment="1">
      <alignment horizontal="center" vertical="center" wrapText="1"/>
    </xf>
    <xf numFmtId="3" fontId="111" fillId="0" borderId="0" xfId="78" applyNumberFormat="1" applyFont="1" applyFill="1" applyBorder="1">
      <alignment/>
      <protection/>
    </xf>
    <xf numFmtId="3" fontId="111" fillId="0" borderId="34" xfId="0" applyNumberFormat="1" applyFont="1" applyFill="1" applyBorder="1" applyAlignment="1">
      <alignment horizontal="center"/>
    </xf>
    <xf numFmtId="3" fontId="111" fillId="33" borderId="10" xfId="0" applyNumberFormat="1" applyFont="1" applyFill="1" applyBorder="1" applyAlignment="1">
      <alignment/>
    </xf>
    <xf numFmtId="3" fontId="111" fillId="0" borderId="0" xfId="0" applyNumberFormat="1" applyFont="1" applyFill="1" applyBorder="1" applyAlignment="1">
      <alignment vertical="center"/>
    </xf>
    <xf numFmtId="3" fontId="122" fillId="0" borderId="0" xfId="0" applyNumberFormat="1" applyFont="1" applyFill="1" applyBorder="1" applyAlignment="1">
      <alignment vertical="center" wrapText="1"/>
    </xf>
    <xf numFmtId="3" fontId="6" fillId="33" borderId="10" xfId="0" applyNumberFormat="1" applyFont="1" applyFill="1" applyBorder="1" applyAlignment="1">
      <alignment horizontal="left" vertical="center" wrapText="1"/>
    </xf>
    <xf numFmtId="3" fontId="111" fillId="33" borderId="72" xfId="0" applyNumberFormat="1" applyFont="1" applyFill="1" applyBorder="1" applyAlignment="1">
      <alignment horizontal="center" vertical="center" wrapText="1"/>
    </xf>
    <xf numFmtId="3" fontId="111" fillId="0" borderId="0" xfId="0" applyNumberFormat="1" applyFont="1" applyFill="1" applyBorder="1" applyAlignment="1">
      <alignment horizontal="left" vertical="center" wrapText="1"/>
    </xf>
    <xf numFmtId="3" fontId="111" fillId="0" borderId="33" xfId="0" applyNumberFormat="1" applyFont="1" applyFill="1" applyBorder="1" applyAlignment="1">
      <alignment horizontal="center" vertical="center" wrapText="1"/>
    </xf>
    <xf numFmtId="3" fontId="111" fillId="0" borderId="124" xfId="0" applyNumberFormat="1" applyFont="1" applyFill="1" applyBorder="1" applyAlignment="1">
      <alignment vertical="center" wrapText="1"/>
    </xf>
    <xf numFmtId="3" fontId="111" fillId="0" borderId="124" xfId="0" applyNumberFormat="1" applyFont="1" applyFill="1" applyBorder="1" applyAlignment="1">
      <alignment horizontal="center" vertical="center" wrapText="1"/>
    </xf>
    <xf numFmtId="3" fontId="111" fillId="0" borderId="125" xfId="0" applyNumberFormat="1" applyFont="1" applyFill="1" applyBorder="1" applyAlignment="1">
      <alignment horizontal="center" vertical="center" wrapText="1"/>
    </xf>
    <xf numFmtId="3" fontId="111" fillId="16" borderId="72" xfId="0" applyNumberFormat="1" applyFont="1" applyFill="1" applyBorder="1" applyAlignment="1">
      <alignment horizontal="center" vertical="center"/>
    </xf>
    <xf numFmtId="3" fontId="111" fillId="16" borderId="58" xfId="0" applyNumberFormat="1" applyFont="1" applyFill="1" applyBorder="1" applyAlignment="1">
      <alignment horizontal="center" vertical="center"/>
    </xf>
    <xf numFmtId="3" fontId="111" fillId="16" borderId="43" xfId="0" applyNumberFormat="1" applyFont="1" applyFill="1" applyBorder="1" applyAlignment="1">
      <alignment horizontal="center" vertical="center"/>
    </xf>
    <xf numFmtId="3" fontId="111" fillId="0" borderId="35" xfId="0" applyNumberFormat="1" applyFont="1" applyFill="1" applyBorder="1" applyAlignment="1">
      <alignment horizontal="center" vertical="center" wrapText="1"/>
    </xf>
    <xf numFmtId="3" fontId="111" fillId="0" borderId="36" xfId="0" applyNumberFormat="1" applyFont="1" applyFill="1" applyBorder="1" applyAlignment="1">
      <alignment vertical="center" wrapText="1"/>
    </xf>
    <xf numFmtId="3" fontId="111" fillId="0" borderId="36" xfId="0" applyNumberFormat="1" applyFont="1" applyFill="1" applyBorder="1" applyAlignment="1">
      <alignment horizontal="center" vertical="center" wrapText="1"/>
    </xf>
    <xf numFmtId="3" fontId="111" fillId="0" borderId="37" xfId="0" applyNumberFormat="1" applyFont="1" applyFill="1" applyBorder="1" applyAlignment="1">
      <alignment horizontal="center" vertical="center" wrapText="1"/>
    </xf>
    <xf numFmtId="3" fontId="111" fillId="0" borderId="0" xfId="0" applyNumberFormat="1" applyFont="1" applyFill="1" applyBorder="1" applyAlignment="1">
      <alignment vertical="center" wrapText="1"/>
    </xf>
    <xf numFmtId="3" fontId="111" fillId="0" borderId="0" xfId="0" applyNumberFormat="1" applyFont="1" applyFill="1" applyBorder="1" applyAlignment="1">
      <alignment/>
    </xf>
    <xf numFmtId="0" fontId="110" fillId="0" borderId="0" xfId="0" applyFont="1" applyFill="1" applyBorder="1" applyAlignment="1">
      <alignment/>
    </xf>
    <xf numFmtId="3" fontId="110" fillId="0" borderId="34" xfId="0" applyNumberFormat="1" applyFont="1" applyBorder="1" applyAlignment="1">
      <alignment/>
    </xf>
    <xf numFmtId="3" fontId="111" fillId="0" borderId="22" xfId="0" applyNumberFormat="1" applyFont="1" applyBorder="1" applyAlignment="1">
      <alignment horizontal="right" vertical="center" wrapText="1"/>
    </xf>
    <xf numFmtId="3" fontId="111" fillId="0" borderId="17" xfId="0" applyNumberFormat="1" applyFont="1" applyBorder="1" applyAlignment="1">
      <alignment horizontal="right" vertical="center" wrapText="1"/>
    </xf>
    <xf numFmtId="0" fontId="111" fillId="0" borderId="0" xfId="0" applyFont="1" applyBorder="1" applyAlignment="1">
      <alignment horizontal="center" vertical="center" wrapText="1"/>
    </xf>
    <xf numFmtId="3" fontId="111" fillId="0" borderId="22" xfId="0" applyNumberFormat="1" applyFont="1" applyBorder="1" applyAlignment="1">
      <alignment horizontal="right" vertical="center"/>
    </xf>
    <xf numFmtId="3" fontId="110" fillId="0" borderId="0" xfId="0" applyNumberFormat="1" applyFont="1" applyBorder="1" applyAlignment="1">
      <alignment/>
    </xf>
    <xf numFmtId="3" fontId="111" fillId="0" borderId="44" xfId="0" applyNumberFormat="1" applyFont="1" applyBorder="1" applyAlignment="1">
      <alignment horizontal="right" vertical="center"/>
    </xf>
    <xf numFmtId="3" fontId="111" fillId="0" borderId="17" xfId="0" applyNumberFormat="1" applyFont="1" applyBorder="1" applyAlignment="1">
      <alignment horizontal="right" vertical="center"/>
    </xf>
    <xf numFmtId="3" fontId="111" fillId="0" borderId="49" xfId="0" applyNumberFormat="1" applyFont="1" applyBorder="1" applyAlignment="1">
      <alignment horizontal="right" vertical="center"/>
    </xf>
    <xf numFmtId="3" fontId="111" fillId="0" borderId="0" xfId="0" applyNumberFormat="1" applyFont="1" applyBorder="1" applyAlignment="1">
      <alignment horizontal="right" vertical="center"/>
    </xf>
    <xf numFmtId="3" fontId="111" fillId="0" borderId="11" xfId="0" applyNumberFormat="1" applyFont="1" applyBorder="1" applyAlignment="1">
      <alignment horizontal="right" vertical="center"/>
    </xf>
    <xf numFmtId="3" fontId="111" fillId="0" borderId="11" xfId="0" applyNumberFormat="1" applyFont="1" applyFill="1" applyBorder="1" applyAlignment="1">
      <alignment horizontal="right" vertical="center"/>
    </xf>
    <xf numFmtId="3" fontId="111" fillId="0" borderId="13" xfId="0" applyNumberFormat="1" applyFont="1" applyBorder="1" applyAlignment="1">
      <alignment horizontal="center" vertical="center"/>
    </xf>
    <xf numFmtId="3" fontId="111" fillId="0" borderId="36" xfId="0" applyNumberFormat="1" applyFont="1" applyBorder="1" applyAlignment="1">
      <alignment horizontal="center" vertical="center"/>
    </xf>
    <xf numFmtId="0" fontId="110" fillId="0" borderId="36" xfId="0" applyFont="1" applyBorder="1" applyAlignment="1">
      <alignment horizontal="center" vertical="center"/>
    </xf>
    <xf numFmtId="3" fontId="111" fillId="42" borderId="40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textRotation="90"/>
    </xf>
    <xf numFmtId="0" fontId="108" fillId="0" borderId="0" xfId="0" applyFont="1" applyAlignment="1">
      <alignment horizontal="center" vertical="center" textRotation="90"/>
    </xf>
    <xf numFmtId="165" fontId="109" fillId="0" borderId="0" xfId="0" applyNumberFormat="1" applyFont="1" applyFill="1" applyAlignment="1">
      <alignment horizontal="center" vertical="center" textRotation="90"/>
    </xf>
    <xf numFmtId="0" fontId="5" fillId="33" borderId="27" xfId="0" applyFont="1" applyFill="1" applyBorder="1" applyAlignment="1">
      <alignment horizontal="center" vertical="center" textRotation="90"/>
    </xf>
    <xf numFmtId="0" fontId="108" fillId="0" borderId="0" xfId="0" applyFont="1" applyFill="1" applyAlignment="1">
      <alignment horizontal="center" vertical="center" textRotation="90"/>
    </xf>
    <xf numFmtId="0" fontId="108" fillId="0" borderId="0" xfId="0" applyFont="1" applyAlignment="1">
      <alignment horizontal="center" vertical="center" wrapText="1"/>
    </xf>
    <xf numFmtId="0" fontId="110" fillId="0" borderId="0" xfId="0" applyFont="1" applyAlignment="1">
      <alignment horizontal="center" vertical="center" wrapText="1"/>
    </xf>
    <xf numFmtId="0" fontId="110" fillId="0" borderId="0" xfId="0" applyFont="1" applyFill="1" applyAlignment="1">
      <alignment horizontal="center" vertical="center" wrapText="1"/>
    </xf>
    <xf numFmtId="0" fontId="109" fillId="0" borderId="0" xfId="0" applyFont="1" applyAlignment="1">
      <alignment horizontal="center" vertical="center" wrapText="1"/>
    </xf>
    <xf numFmtId="0" fontId="108" fillId="0" borderId="118" xfId="0" applyFont="1" applyBorder="1" applyAlignment="1">
      <alignment horizontal="center" vertical="center" wrapText="1"/>
    </xf>
    <xf numFmtId="43" fontId="109" fillId="25" borderId="126" xfId="42" applyFont="1" applyFill="1" applyBorder="1" applyAlignment="1">
      <alignment horizontal="center" vertical="center" wrapText="1"/>
    </xf>
    <xf numFmtId="0" fontId="108" fillId="0" borderId="0" xfId="0" applyFont="1" applyFill="1" applyAlignment="1">
      <alignment horizontal="center" vertical="center" wrapText="1"/>
    </xf>
    <xf numFmtId="0" fontId="4" fillId="38" borderId="0" xfId="78" applyFont="1" applyFill="1" applyAlignment="1">
      <alignment horizontal="center" vertical="center" wrapText="1"/>
      <protection/>
    </xf>
    <xf numFmtId="0" fontId="6" fillId="0" borderId="16" xfId="0" applyFont="1" applyBorder="1" applyAlignment="1">
      <alignment horizontal="center" vertical="center"/>
    </xf>
    <xf numFmtId="0" fontId="108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09" fillId="0" borderId="80" xfId="0" applyFont="1" applyFill="1" applyBorder="1" applyAlignment="1">
      <alignment horizontal="center" vertical="center"/>
    </xf>
    <xf numFmtId="165" fontId="109" fillId="0" borderId="46" xfId="42" applyNumberFormat="1" applyFont="1" applyFill="1" applyBorder="1" applyAlignment="1">
      <alignment horizontal="center" vertical="center"/>
    </xf>
    <xf numFmtId="165" fontId="5" fillId="39" borderId="27" xfId="42" applyNumberFormat="1" applyFont="1" applyFill="1" applyBorder="1" applyAlignment="1">
      <alignment horizontal="center" vertical="center"/>
    </xf>
    <xf numFmtId="165" fontId="5" fillId="39" borderId="117" xfId="42" applyNumberFormat="1" applyFont="1" applyFill="1" applyBorder="1" applyAlignment="1">
      <alignment horizontal="center" vertical="center"/>
    </xf>
    <xf numFmtId="3" fontId="111" fillId="0" borderId="10" xfId="0" applyNumberFormat="1" applyFont="1" applyFill="1" applyBorder="1" applyAlignment="1">
      <alignment horizontal="right" vertical="center"/>
    </xf>
    <xf numFmtId="3" fontId="110" fillId="0" borderId="10" xfId="0" applyNumberFormat="1" applyFont="1" applyFill="1" applyBorder="1" applyAlignment="1">
      <alignment horizontal="right" vertical="center"/>
    </xf>
    <xf numFmtId="165" fontId="109" fillId="0" borderId="49" xfId="42" applyNumberFormat="1" applyFont="1" applyFill="1" applyBorder="1" applyAlignment="1">
      <alignment horizontal="center" vertical="center"/>
    </xf>
    <xf numFmtId="169" fontId="41" fillId="0" borderId="18" xfId="0" applyNumberFormat="1" applyFont="1" applyBorder="1" applyAlignment="1">
      <alignment horizontal="center"/>
    </xf>
    <xf numFmtId="169" fontId="41" fillId="0" borderId="10" xfId="0" applyNumberFormat="1" applyFont="1" applyBorder="1" applyAlignment="1">
      <alignment horizontal="center"/>
    </xf>
    <xf numFmtId="169" fontId="41" fillId="0" borderId="11" xfId="0" applyNumberFormat="1" applyFont="1" applyBorder="1" applyAlignment="1">
      <alignment horizontal="center"/>
    </xf>
    <xf numFmtId="169" fontId="41" fillId="43" borderId="10" xfId="0" applyNumberFormat="1" applyFont="1" applyFill="1" applyBorder="1" applyAlignment="1">
      <alignment horizontal="center"/>
    </xf>
    <xf numFmtId="169" fontId="41" fillId="44" borderId="10" xfId="0" applyNumberFormat="1" applyFont="1" applyFill="1" applyBorder="1" applyAlignment="1">
      <alignment horizontal="center"/>
    </xf>
    <xf numFmtId="169" fontId="41" fillId="43" borderId="11" xfId="0" applyNumberFormat="1" applyFont="1" applyFill="1" applyBorder="1" applyAlignment="1">
      <alignment horizontal="center"/>
    </xf>
    <xf numFmtId="169" fontId="41" fillId="0" borderId="10" xfId="0" applyNumberFormat="1" applyFont="1" applyFill="1" applyBorder="1" applyAlignment="1">
      <alignment horizontal="center"/>
    </xf>
    <xf numFmtId="169" fontId="41" fillId="44" borderId="11" xfId="0" applyNumberFormat="1" applyFont="1" applyFill="1" applyBorder="1" applyAlignment="1">
      <alignment horizontal="center"/>
    </xf>
    <xf numFmtId="169" fontId="123" fillId="0" borderId="10" xfId="0" applyNumberFormat="1" applyFont="1" applyBorder="1" applyAlignment="1">
      <alignment horizontal="center"/>
    </xf>
    <xf numFmtId="169" fontId="123" fillId="0" borderId="11" xfId="0" applyNumberFormat="1" applyFont="1" applyBorder="1" applyAlignment="1">
      <alignment horizontal="center"/>
    </xf>
    <xf numFmtId="169" fontId="41" fillId="0" borderId="10" xfId="78" applyNumberFormat="1" applyFont="1" applyBorder="1" applyAlignment="1">
      <alignment horizontal="center"/>
      <protection/>
    </xf>
    <xf numFmtId="169" fontId="41" fillId="0" borderId="11" xfId="78" applyNumberFormat="1" applyFont="1" applyBorder="1" applyAlignment="1">
      <alignment horizontal="center"/>
      <protection/>
    </xf>
    <xf numFmtId="169" fontId="123" fillId="44" borderId="10" xfId="0" applyNumberFormat="1" applyFont="1" applyFill="1" applyBorder="1" applyAlignment="1">
      <alignment horizontal="center"/>
    </xf>
    <xf numFmtId="169" fontId="123" fillId="0" borderId="10" xfId="0" applyNumberFormat="1" applyFont="1" applyFill="1" applyBorder="1" applyAlignment="1">
      <alignment horizontal="center"/>
    </xf>
    <xf numFmtId="169" fontId="123" fillId="0" borderId="18" xfId="0" applyNumberFormat="1" applyFont="1" applyBorder="1" applyAlignment="1">
      <alignment horizontal="center"/>
    </xf>
    <xf numFmtId="169" fontId="123" fillId="0" borderId="18" xfId="0" applyNumberFormat="1" applyFont="1" applyFill="1" applyBorder="1" applyAlignment="1">
      <alignment horizontal="center"/>
    </xf>
    <xf numFmtId="169" fontId="123" fillId="0" borderId="11" xfId="0" applyNumberFormat="1" applyFont="1" applyFill="1" applyBorder="1" applyAlignment="1">
      <alignment horizontal="center"/>
    </xf>
    <xf numFmtId="0" fontId="123" fillId="33" borderId="18" xfId="0" applyFont="1" applyFill="1" applyBorder="1" applyAlignment="1">
      <alignment horizontal="center"/>
    </xf>
    <xf numFmtId="169" fontId="123" fillId="33" borderId="18" xfId="0" applyNumberFormat="1" applyFont="1" applyFill="1" applyBorder="1" applyAlignment="1">
      <alignment horizontal="center"/>
    </xf>
    <xf numFmtId="169" fontId="123" fillId="33" borderId="10" xfId="0" applyNumberFormat="1" applyFont="1" applyFill="1" applyBorder="1" applyAlignment="1">
      <alignment horizontal="center"/>
    </xf>
    <xf numFmtId="169" fontId="123" fillId="33" borderId="11" xfId="0" applyNumberFormat="1" applyFont="1" applyFill="1" applyBorder="1" applyAlignment="1">
      <alignment horizontal="center"/>
    </xf>
    <xf numFmtId="169" fontId="123" fillId="33" borderId="10" xfId="0" applyNumberFormat="1" applyFont="1" applyFill="1" applyBorder="1" applyAlignment="1">
      <alignment horizontal="center" vertical="center"/>
    </xf>
    <xf numFmtId="169" fontId="123" fillId="33" borderId="11" xfId="0" applyNumberFormat="1" applyFont="1" applyFill="1" applyBorder="1" applyAlignment="1">
      <alignment horizontal="center" vertical="center"/>
    </xf>
    <xf numFmtId="169" fontId="123" fillId="33" borderId="12" xfId="0" applyNumberFormat="1" applyFont="1" applyFill="1" applyBorder="1" applyAlignment="1">
      <alignment horizontal="center" vertical="center"/>
    </xf>
    <xf numFmtId="169" fontId="123" fillId="33" borderId="13" xfId="0" applyNumberFormat="1" applyFont="1" applyFill="1" applyBorder="1" applyAlignment="1">
      <alignment horizontal="center" vertical="center"/>
    </xf>
    <xf numFmtId="3" fontId="3" fillId="45" borderId="23" xfId="0" applyNumberFormat="1" applyFont="1" applyFill="1" applyBorder="1" applyAlignment="1">
      <alignment horizontal="center"/>
    </xf>
    <xf numFmtId="3" fontId="3" fillId="45" borderId="72" xfId="0" applyNumberFormat="1" applyFont="1" applyFill="1" applyBorder="1" applyAlignment="1">
      <alignment/>
    </xf>
    <xf numFmtId="3" fontId="3" fillId="45" borderId="43" xfId="0" applyNumberFormat="1" applyFont="1" applyFill="1" applyBorder="1" applyAlignment="1">
      <alignment/>
    </xf>
    <xf numFmtId="3" fontId="3" fillId="0" borderId="39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0" fontId="27" fillId="33" borderId="38" xfId="0" applyFont="1" applyFill="1" applyBorder="1" applyAlignment="1">
      <alignment horizontal="center"/>
    </xf>
    <xf numFmtId="0" fontId="9" fillId="33" borderId="65" xfId="0" applyFont="1" applyFill="1" applyBorder="1" applyAlignment="1">
      <alignment/>
    </xf>
    <xf numFmtId="3" fontId="9" fillId="33" borderId="12" xfId="0" applyNumberFormat="1" applyFont="1" applyFill="1" applyBorder="1" applyAlignment="1">
      <alignment horizontal="right"/>
    </xf>
    <xf numFmtId="0" fontId="108" fillId="0" borderId="0" xfId="0" applyFont="1" applyBorder="1" applyAlignment="1">
      <alignment horizontal="center"/>
    </xf>
    <xf numFmtId="0" fontId="3" fillId="0" borderId="66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0" xfId="0" applyFont="1" applyFill="1" applyBorder="1" applyAlignment="1">
      <alignment/>
    </xf>
    <xf numFmtId="0" fontId="111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3" fontId="109" fillId="0" borderId="0" xfId="0" applyNumberFormat="1" applyFont="1" applyFill="1" applyBorder="1" applyAlignment="1">
      <alignment horizontal="center"/>
    </xf>
    <xf numFmtId="0" fontId="111" fillId="0" borderId="0" xfId="0" applyFont="1" applyFill="1" applyBorder="1" applyAlignment="1">
      <alignment vertical="center"/>
    </xf>
    <xf numFmtId="0" fontId="7" fillId="0" borderId="61" xfId="0" applyFont="1" applyBorder="1" applyAlignment="1">
      <alignment horizontal="center" textRotation="90"/>
    </xf>
    <xf numFmtId="0" fontId="7" fillId="0" borderId="44" xfId="0" applyFont="1" applyBorder="1" applyAlignment="1">
      <alignment horizontal="center" textRotation="90"/>
    </xf>
    <xf numFmtId="0" fontId="7" fillId="0" borderId="39" xfId="0" applyFont="1" applyBorder="1" applyAlignment="1">
      <alignment horizontal="center" textRotation="90"/>
    </xf>
    <xf numFmtId="0" fontId="7" fillId="0" borderId="56" xfId="0" applyFont="1" applyBorder="1" applyAlignment="1">
      <alignment horizontal="center" textRotation="90"/>
    </xf>
    <xf numFmtId="0" fontId="7" fillId="0" borderId="14" xfId="0" applyFont="1" applyBorder="1" applyAlignment="1">
      <alignment horizontal="center" textRotation="90"/>
    </xf>
    <xf numFmtId="0" fontId="7" fillId="0" borderId="11" xfId="0" applyFont="1" applyBorder="1" applyAlignment="1">
      <alignment horizontal="center" textRotation="90"/>
    </xf>
    <xf numFmtId="0" fontId="7" fillId="0" borderId="66" xfId="0" applyFont="1" applyBorder="1" applyAlignment="1">
      <alignment horizontal="center" textRotation="90"/>
    </xf>
    <xf numFmtId="0" fontId="7" fillId="0" borderId="19" xfId="0" applyFont="1" applyBorder="1" applyAlignment="1">
      <alignment horizontal="center" textRotation="90"/>
    </xf>
    <xf numFmtId="0" fontId="7" fillId="0" borderId="28" xfId="0" applyFont="1" applyBorder="1" applyAlignment="1">
      <alignment horizontal="center" textRotation="90"/>
    </xf>
    <xf numFmtId="0" fontId="7" fillId="0" borderId="80" xfId="0" applyFont="1" applyBorder="1" applyAlignment="1">
      <alignment horizontal="center" textRotation="90"/>
    </xf>
    <xf numFmtId="3" fontId="3" fillId="34" borderId="65" xfId="0" applyNumberFormat="1" applyFont="1" applyFill="1" applyBorder="1" applyAlignment="1">
      <alignment horizontal="center"/>
    </xf>
    <xf numFmtId="3" fontId="22" fillId="34" borderId="65" xfId="0" applyNumberFormat="1" applyFont="1" applyFill="1" applyBorder="1" applyAlignment="1">
      <alignment horizontal="center"/>
    </xf>
    <xf numFmtId="3" fontId="3" fillId="0" borderId="122" xfId="0" applyNumberFormat="1" applyFont="1" applyFill="1" applyBorder="1" applyAlignment="1">
      <alignment horizontal="center"/>
    </xf>
    <xf numFmtId="0" fontId="45" fillId="0" borderId="127" xfId="0" applyFont="1" applyBorder="1" applyAlignment="1">
      <alignment horizontal="center"/>
    </xf>
    <xf numFmtId="0" fontId="45" fillId="0" borderId="128" xfId="0" applyFont="1" applyBorder="1" applyAlignment="1">
      <alignment horizontal="center"/>
    </xf>
    <xf numFmtId="0" fontId="45" fillId="0" borderId="63" xfId="0" applyFont="1" applyBorder="1" applyAlignment="1">
      <alignment horizontal="center"/>
    </xf>
    <xf numFmtId="0" fontId="45" fillId="0" borderId="127" xfId="0" applyFont="1" applyFill="1" applyBorder="1" applyAlignment="1">
      <alignment horizontal="center"/>
    </xf>
    <xf numFmtId="0" fontId="45" fillId="0" borderId="128" xfId="0" applyFont="1" applyFill="1" applyBorder="1" applyAlignment="1">
      <alignment horizontal="center"/>
    </xf>
    <xf numFmtId="0" fontId="45" fillId="0" borderId="64" xfId="0" applyFont="1" applyBorder="1" applyAlignment="1">
      <alignment horizontal="center"/>
    </xf>
    <xf numFmtId="0" fontId="45" fillId="0" borderId="129" xfId="0" applyFont="1" applyBorder="1" applyAlignment="1">
      <alignment horizontal="center"/>
    </xf>
    <xf numFmtId="0" fontId="45" fillId="0" borderId="130" xfId="0" applyFont="1" applyBorder="1" applyAlignment="1">
      <alignment horizontal="center"/>
    </xf>
    <xf numFmtId="0" fontId="7" fillId="46" borderId="80" xfId="0" applyFont="1" applyFill="1" applyBorder="1" applyAlignment="1">
      <alignment horizontal="center" textRotation="90" wrapText="1"/>
    </xf>
    <xf numFmtId="0" fontId="7" fillId="46" borderId="56" xfId="0" applyFont="1" applyFill="1" applyBorder="1" applyAlignment="1">
      <alignment horizontal="center" textRotation="90"/>
    </xf>
    <xf numFmtId="0" fontId="7" fillId="46" borderId="14" xfId="0" applyFont="1" applyFill="1" applyBorder="1" applyAlignment="1">
      <alignment horizontal="center" textRotation="90"/>
    </xf>
    <xf numFmtId="0" fontId="7" fillId="46" borderId="11" xfId="0" applyFont="1" applyFill="1" applyBorder="1" applyAlignment="1">
      <alignment horizontal="center" textRotation="90"/>
    </xf>
    <xf numFmtId="0" fontId="7" fillId="46" borderId="45" xfId="0" applyFont="1" applyFill="1" applyBorder="1" applyAlignment="1">
      <alignment horizontal="center" textRotation="90"/>
    </xf>
    <xf numFmtId="0" fontId="7" fillId="46" borderId="20" xfId="0" applyFont="1" applyFill="1" applyBorder="1" applyAlignment="1">
      <alignment horizontal="center" textRotation="90"/>
    </xf>
    <xf numFmtId="0" fontId="7" fillId="46" borderId="80" xfId="0" applyFont="1" applyFill="1" applyBorder="1" applyAlignment="1">
      <alignment horizontal="center" textRotation="90"/>
    </xf>
    <xf numFmtId="0" fontId="7" fillId="46" borderId="26" xfId="0" applyFont="1" applyFill="1" applyBorder="1" applyAlignment="1">
      <alignment horizontal="center" textRotation="90"/>
    </xf>
    <xf numFmtId="0" fontId="7" fillId="46" borderId="52" xfId="0" applyFont="1" applyFill="1" applyBorder="1" applyAlignment="1">
      <alignment horizontal="center" textRotation="90"/>
    </xf>
    <xf numFmtId="0" fontId="7" fillId="46" borderId="61" xfId="0" applyFont="1" applyFill="1" applyBorder="1" applyAlignment="1">
      <alignment horizontal="center" textRotation="90"/>
    </xf>
    <xf numFmtId="0" fontId="7" fillId="46" borderId="44" xfId="0" applyFont="1" applyFill="1" applyBorder="1" applyAlignment="1">
      <alignment horizontal="center" textRotation="90"/>
    </xf>
    <xf numFmtId="0" fontId="7" fillId="46" borderId="66" xfId="0" applyFont="1" applyFill="1" applyBorder="1" applyAlignment="1">
      <alignment horizontal="center" textRotation="90"/>
    </xf>
    <xf numFmtId="0" fontId="7" fillId="46" borderId="19" xfId="0" applyFont="1" applyFill="1" applyBorder="1" applyAlignment="1">
      <alignment horizontal="center" textRotation="90"/>
    </xf>
    <xf numFmtId="0" fontId="7" fillId="46" borderId="39" xfId="0" applyFont="1" applyFill="1" applyBorder="1" applyAlignment="1">
      <alignment horizontal="center" textRotation="90"/>
    </xf>
    <xf numFmtId="0" fontId="7" fillId="46" borderId="28" xfId="0" applyFont="1" applyFill="1" applyBorder="1" applyAlignment="1">
      <alignment horizontal="center" textRotation="90"/>
    </xf>
    <xf numFmtId="0" fontId="109" fillId="47" borderId="20" xfId="0" applyFont="1" applyFill="1" applyBorder="1" applyAlignment="1">
      <alignment horizontal="center" vertical="center"/>
    </xf>
    <xf numFmtId="0" fontId="109" fillId="0" borderId="11" xfId="0" applyFont="1" applyBorder="1" applyAlignment="1">
      <alignment horizontal="left" vertical="center"/>
    </xf>
    <xf numFmtId="0" fontId="108" fillId="0" borderId="35" xfId="0" applyFont="1" applyBorder="1" applyAlignment="1">
      <alignment/>
    </xf>
    <xf numFmtId="0" fontId="108" fillId="0" borderId="36" xfId="0" applyFont="1" applyBorder="1" applyAlignment="1">
      <alignment/>
    </xf>
    <xf numFmtId="0" fontId="14" fillId="48" borderId="11" xfId="0" applyFont="1" applyFill="1" applyBorder="1" applyAlignment="1">
      <alignment horizontal="center"/>
    </xf>
    <xf numFmtId="3" fontId="6" fillId="0" borderId="11" xfId="0" applyNumberFormat="1" applyFont="1" applyBorder="1" applyAlignment="1">
      <alignment/>
    </xf>
    <xf numFmtId="3" fontId="111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165" fontId="7" fillId="0" borderId="10" xfId="42" applyNumberFormat="1" applyFont="1" applyBorder="1" applyAlignment="1">
      <alignment horizontal="right"/>
    </xf>
    <xf numFmtId="165" fontId="6" fillId="0" borderId="10" xfId="42" applyNumberFormat="1" applyFont="1" applyBorder="1" applyAlignment="1">
      <alignment horizontal="right"/>
    </xf>
    <xf numFmtId="3" fontId="110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 textRotation="90"/>
    </xf>
    <xf numFmtId="3" fontId="111" fillId="0" borderId="10" xfId="0" applyNumberFormat="1" applyFont="1" applyFill="1" applyBorder="1" applyAlignment="1">
      <alignment horizontal="right"/>
    </xf>
    <xf numFmtId="165" fontId="8" fillId="0" borderId="10" xfId="42" applyNumberFormat="1" applyFont="1" applyBorder="1" applyAlignment="1">
      <alignment horizontal="right"/>
    </xf>
    <xf numFmtId="165" fontId="9" fillId="0" borderId="10" xfId="42" applyNumberFormat="1" applyFont="1" applyBorder="1" applyAlignment="1">
      <alignment horizontal="right"/>
    </xf>
    <xf numFmtId="165" fontId="111" fillId="0" borderId="10" xfId="42" applyNumberFormat="1" applyFont="1" applyFill="1" applyBorder="1" applyAlignment="1">
      <alignment horizontal="right"/>
    </xf>
    <xf numFmtId="165" fontId="7" fillId="0" borderId="18" xfId="42" applyNumberFormat="1" applyFont="1" applyFill="1" applyBorder="1" applyAlignment="1">
      <alignment/>
    </xf>
    <xf numFmtId="165" fontId="9" fillId="0" borderId="10" xfId="42" applyNumberFormat="1" applyFont="1" applyFill="1" applyBorder="1" applyAlignment="1">
      <alignment/>
    </xf>
    <xf numFmtId="165" fontId="8" fillId="0" borderId="10" xfId="42" applyNumberFormat="1" applyFont="1" applyFill="1" applyBorder="1" applyAlignment="1">
      <alignment horizontal="right"/>
    </xf>
    <xf numFmtId="164" fontId="110" fillId="0" borderId="10" xfId="0" applyNumberFormat="1" applyFont="1" applyBorder="1" applyAlignment="1">
      <alignment horizontal="right"/>
    </xf>
    <xf numFmtId="0" fontId="110" fillId="0" borderId="10" xfId="0" applyFont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165" fontId="110" fillId="0" borderId="0" xfId="0" applyNumberFormat="1" applyFont="1" applyFill="1" applyAlignment="1">
      <alignment/>
    </xf>
    <xf numFmtId="17" fontId="6" fillId="0" borderId="46" xfId="0" applyNumberFormat="1" applyFont="1" applyFill="1" applyBorder="1" applyAlignment="1">
      <alignment horizontal="center" vertical="center" wrapText="1"/>
    </xf>
    <xf numFmtId="17" fontId="6" fillId="0" borderId="49" xfId="0" applyNumberFormat="1" applyFont="1" applyFill="1" applyBorder="1" applyAlignment="1">
      <alignment horizontal="center" vertical="center" wrapText="1"/>
    </xf>
    <xf numFmtId="3" fontId="111" fillId="0" borderId="11" xfId="0" applyNumberFormat="1" applyFont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165" fontId="9" fillId="0" borderId="46" xfId="42" applyNumberFormat="1" applyFont="1" applyFill="1" applyBorder="1" applyAlignment="1">
      <alignment/>
    </xf>
    <xf numFmtId="165" fontId="7" fillId="0" borderId="53" xfId="42" applyNumberFormat="1" applyFont="1" applyFill="1" applyBorder="1" applyAlignment="1">
      <alignment/>
    </xf>
    <xf numFmtId="165" fontId="7" fillId="0" borderId="46" xfId="42" applyNumberFormat="1" applyFont="1" applyFill="1" applyBorder="1" applyAlignment="1">
      <alignment/>
    </xf>
    <xf numFmtId="3" fontId="6" fillId="0" borderId="49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7" fontId="7" fillId="0" borderId="12" xfId="42" applyNumberFormat="1" applyFont="1" applyFill="1" applyBorder="1" applyAlignment="1">
      <alignment/>
    </xf>
    <xf numFmtId="37" fontId="7" fillId="0" borderId="13" xfId="42" applyNumberFormat="1" applyFont="1" applyFill="1" applyBorder="1" applyAlignment="1">
      <alignment horizontal="right"/>
    </xf>
    <xf numFmtId="165" fontId="110" fillId="0" borderId="46" xfId="42" applyNumberFormat="1" applyFont="1" applyFill="1" applyBorder="1" applyAlignment="1">
      <alignment horizontal="right"/>
    </xf>
    <xf numFmtId="3" fontId="110" fillId="0" borderId="46" xfId="0" applyNumberFormat="1" applyFont="1" applyFill="1" applyBorder="1" applyAlignment="1">
      <alignment horizontal="right"/>
    </xf>
    <xf numFmtId="165" fontId="7" fillId="0" borderId="49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left" vertical="center"/>
    </xf>
    <xf numFmtId="165" fontId="7" fillId="0" borderId="11" xfId="0" applyNumberFormat="1" applyFont="1" applyFill="1" applyBorder="1" applyAlignment="1">
      <alignment/>
    </xf>
    <xf numFmtId="165" fontId="7" fillId="0" borderId="11" xfId="42" applyNumberFormat="1" applyFont="1" applyFill="1" applyBorder="1" applyAlignment="1">
      <alignment/>
    </xf>
    <xf numFmtId="3" fontId="110" fillId="0" borderId="12" xfId="0" applyNumberFormat="1" applyFont="1" applyFill="1" applyBorder="1" applyAlignment="1">
      <alignment horizontal="right"/>
    </xf>
    <xf numFmtId="3" fontId="9" fillId="0" borderId="12" xfId="0" applyNumberFormat="1" applyFont="1" applyFill="1" applyBorder="1" applyAlignment="1">
      <alignment horizontal="right"/>
    </xf>
    <xf numFmtId="165" fontId="7" fillId="0" borderId="13" xfId="42" applyNumberFormat="1" applyFont="1" applyFill="1" applyBorder="1" applyAlignment="1">
      <alignment/>
    </xf>
    <xf numFmtId="0" fontId="110" fillId="0" borderId="55" xfId="0" applyFont="1" applyBorder="1" applyAlignment="1">
      <alignment vertical="center"/>
    </xf>
    <xf numFmtId="0" fontId="111" fillId="0" borderId="18" xfId="0" applyFont="1" applyBorder="1" applyAlignment="1">
      <alignment horizontal="center" vertical="center"/>
    </xf>
    <xf numFmtId="0" fontId="111" fillId="0" borderId="38" xfId="0" applyFont="1" applyBorder="1" applyAlignment="1">
      <alignment horizontal="center" vertical="center" wrapText="1"/>
    </xf>
    <xf numFmtId="0" fontId="111" fillId="0" borderId="20" xfId="0" applyFont="1" applyBorder="1" applyAlignment="1">
      <alignment horizontal="center" vertical="center"/>
    </xf>
    <xf numFmtId="0" fontId="111" fillId="0" borderId="20" xfId="0" applyFont="1" applyBorder="1" applyAlignment="1">
      <alignment horizontal="center" vertical="center" wrapText="1"/>
    </xf>
    <xf numFmtId="0" fontId="111" fillId="0" borderId="20" xfId="0" applyFont="1" applyFill="1" applyBorder="1" applyAlignment="1">
      <alignment horizontal="center" vertical="center"/>
    </xf>
    <xf numFmtId="0" fontId="111" fillId="33" borderId="2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vertical="center" wrapText="1"/>
    </xf>
    <xf numFmtId="3" fontId="112" fillId="33" borderId="10" xfId="0" applyNumberFormat="1" applyFont="1" applyFill="1" applyBorder="1" applyAlignment="1">
      <alignment vertical="center" wrapText="1"/>
    </xf>
    <xf numFmtId="0" fontId="124" fillId="33" borderId="10" xfId="0" applyFont="1" applyFill="1" applyBorder="1" applyAlignment="1">
      <alignment horizontal="left" vertical="center"/>
    </xf>
    <xf numFmtId="0" fontId="123" fillId="0" borderId="21" xfId="0" applyFont="1" applyBorder="1" applyAlignment="1">
      <alignment horizontal="center" vertical="center" wrapText="1"/>
    </xf>
    <xf numFmtId="3" fontId="123" fillId="0" borderId="21" xfId="0" applyNumberFormat="1" applyFont="1" applyBorder="1" applyAlignment="1">
      <alignment horizontal="center" vertical="center" wrapText="1"/>
    </xf>
    <xf numFmtId="0" fontId="125" fillId="0" borderId="0" xfId="0" applyFont="1" applyFill="1" applyAlignment="1">
      <alignment/>
    </xf>
    <xf numFmtId="0" fontId="126" fillId="0" borderId="0" xfId="0" applyFont="1" applyFill="1" applyAlignment="1">
      <alignment/>
    </xf>
    <xf numFmtId="3" fontId="9" fillId="0" borderId="11" xfId="0" applyNumberFormat="1" applyFont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109" fillId="0" borderId="0" xfId="0" applyFont="1" applyAlignment="1">
      <alignment/>
    </xf>
    <xf numFmtId="0" fontId="127" fillId="0" borderId="0" xfId="0" applyFont="1" applyAlignment="1">
      <alignment/>
    </xf>
    <xf numFmtId="0" fontId="128" fillId="0" borderId="0" xfId="0" applyFont="1" applyAlignment="1">
      <alignment/>
    </xf>
    <xf numFmtId="0" fontId="127" fillId="0" borderId="0" xfId="0" applyFont="1" applyAlignment="1">
      <alignment vertical="center"/>
    </xf>
    <xf numFmtId="3" fontId="110" fillId="0" borderId="10" xfId="0" applyNumberFormat="1" applyFont="1" applyFill="1" applyBorder="1" applyAlignment="1">
      <alignment horizontal="right" vertical="center"/>
    </xf>
    <xf numFmtId="0" fontId="110" fillId="0" borderId="10" xfId="0" applyFont="1" applyFill="1" applyBorder="1" applyAlignment="1">
      <alignment horizontal="left" vertical="center" wrapText="1"/>
    </xf>
    <xf numFmtId="170" fontId="110" fillId="0" borderId="21" xfId="0" applyNumberFormat="1" applyFont="1" applyFill="1" applyBorder="1" applyAlignment="1">
      <alignment horizontal="right" vertical="center" wrapText="1"/>
    </xf>
    <xf numFmtId="0" fontId="110" fillId="0" borderId="10" xfId="0" applyFont="1" applyBorder="1" applyAlignment="1">
      <alignment horizontal="left" vertical="center" wrapText="1"/>
    </xf>
    <xf numFmtId="3" fontId="9" fillId="0" borderId="22" xfId="78" applyNumberFormat="1" applyFont="1" applyFill="1" applyBorder="1" applyAlignment="1">
      <alignment horizontal="right" vertical="center"/>
      <protection/>
    </xf>
    <xf numFmtId="170" fontId="111" fillId="0" borderId="21" xfId="0" applyNumberFormat="1" applyFont="1" applyFill="1" applyBorder="1" applyAlignment="1">
      <alignment horizontal="right" vertical="center" wrapText="1"/>
    </xf>
    <xf numFmtId="170" fontId="111" fillId="0" borderId="42" xfId="0" applyNumberFormat="1" applyFont="1" applyFill="1" applyBorder="1" applyAlignment="1">
      <alignment horizontal="right" vertical="center" wrapText="1"/>
    </xf>
    <xf numFmtId="170" fontId="111" fillId="0" borderId="16" xfId="0" applyNumberFormat="1" applyFont="1" applyFill="1" applyBorder="1" applyAlignment="1">
      <alignment horizontal="right" vertical="center" wrapText="1"/>
    </xf>
    <xf numFmtId="3" fontId="111" fillId="0" borderId="10" xfId="0" applyNumberFormat="1" applyFont="1" applyFill="1" applyBorder="1" applyAlignment="1">
      <alignment horizontal="right" vertical="center"/>
    </xf>
    <xf numFmtId="0" fontId="108" fillId="0" borderId="10" xfId="0" applyFont="1" applyBorder="1" applyAlignment="1">
      <alignment horizontal="center" vertical="center"/>
    </xf>
    <xf numFmtId="3" fontId="123" fillId="0" borderId="14" xfId="0" applyNumberFormat="1" applyFont="1" applyBorder="1" applyAlignment="1">
      <alignment vertical="center"/>
    </xf>
    <xf numFmtId="3" fontId="123" fillId="0" borderId="18" xfId="0" applyNumberFormat="1" applyFont="1" applyBorder="1" applyAlignment="1">
      <alignment horizontal="center" vertical="top" wrapText="1"/>
    </xf>
    <xf numFmtId="3" fontId="123" fillId="0" borderId="68" xfId="0" applyNumberFormat="1" applyFont="1" applyBorder="1" applyAlignment="1">
      <alignment horizontal="center" vertical="center" wrapText="1"/>
    </xf>
    <xf numFmtId="0" fontId="128" fillId="0" borderId="0" xfId="0" applyFont="1" applyBorder="1" applyAlignment="1">
      <alignment/>
    </xf>
    <xf numFmtId="0" fontId="123" fillId="11" borderId="118" xfId="0" applyFont="1" applyFill="1" applyBorder="1" applyAlignment="1">
      <alignment horizontal="center" vertical="center" wrapText="1"/>
    </xf>
    <xf numFmtId="0" fontId="110" fillId="0" borderId="10" xfId="0" applyFont="1" applyFill="1" applyBorder="1" applyAlignment="1">
      <alignment horizontal="right" vertical="center"/>
    </xf>
    <xf numFmtId="0" fontId="110" fillId="0" borderId="1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right" vertical="center" wrapText="1"/>
    </xf>
    <xf numFmtId="0" fontId="110" fillId="0" borderId="10" xfId="0" applyFont="1" applyFill="1" applyBorder="1" applyAlignment="1">
      <alignment vertical="center"/>
    </xf>
    <xf numFmtId="0" fontId="110" fillId="0" borderId="19" xfId="0" applyFont="1" applyFill="1" applyBorder="1" applyAlignment="1">
      <alignment vertical="center"/>
    </xf>
    <xf numFmtId="0" fontId="110" fillId="0" borderId="19" xfId="0" applyFont="1" applyFill="1" applyBorder="1" applyAlignment="1">
      <alignment horizontal="left" vertical="center" wrapText="1"/>
    </xf>
    <xf numFmtId="0" fontId="110" fillId="0" borderId="57" xfId="0" applyFont="1" applyFill="1" applyBorder="1" applyAlignment="1">
      <alignment vertical="center"/>
    </xf>
    <xf numFmtId="0" fontId="110" fillId="0" borderId="0" xfId="0" applyFont="1" applyFill="1" applyBorder="1" applyAlignment="1">
      <alignment vertical="center"/>
    </xf>
    <xf numFmtId="43" fontId="111" fillId="49" borderId="58" xfId="42" applyFont="1" applyFill="1" applyBorder="1" applyAlignment="1">
      <alignment horizontal="center" vertical="center"/>
    </xf>
    <xf numFmtId="43" fontId="111" fillId="49" borderId="71" xfId="42" applyFont="1" applyFill="1" applyBorder="1" applyAlignment="1">
      <alignment horizontal="center" vertical="center"/>
    </xf>
    <xf numFmtId="0" fontId="123" fillId="16" borderId="10" xfId="0" applyFont="1" applyFill="1" applyBorder="1" applyAlignment="1">
      <alignment horizontal="center" vertical="center" wrapText="1"/>
    </xf>
    <xf numFmtId="0" fontId="53" fillId="16" borderId="10" xfId="0" applyFont="1" applyFill="1" applyBorder="1" applyAlignment="1">
      <alignment horizontal="center" vertical="center"/>
    </xf>
    <xf numFmtId="0" fontId="123" fillId="16" borderId="10" xfId="0" applyFont="1" applyFill="1" applyBorder="1" applyAlignment="1">
      <alignment horizontal="center" vertical="center"/>
    </xf>
    <xf numFmtId="37" fontId="111" fillId="34" borderId="55" xfId="0" applyNumberFormat="1" applyFont="1" applyFill="1" applyBorder="1" applyAlignment="1">
      <alignment/>
    </xf>
    <xf numFmtId="0" fontId="123" fillId="16" borderId="20" xfId="0" applyFont="1" applyFill="1" applyBorder="1" applyAlignment="1">
      <alignment horizontal="center" vertical="center" wrapText="1"/>
    </xf>
    <xf numFmtId="0" fontId="123" fillId="16" borderId="11" xfId="0" applyFont="1" applyFill="1" applyBorder="1" applyAlignment="1">
      <alignment horizontal="center" vertical="center"/>
    </xf>
    <xf numFmtId="0" fontId="110" fillId="0" borderId="20" xfId="0" applyFont="1" applyBorder="1" applyAlignment="1">
      <alignment horizontal="left" vertical="center" wrapText="1"/>
    </xf>
    <xf numFmtId="0" fontId="110" fillId="0" borderId="20" xfId="0" applyFont="1" applyFill="1" applyBorder="1" applyAlignment="1">
      <alignment horizontal="left" vertical="center" wrapText="1"/>
    </xf>
    <xf numFmtId="3" fontId="111" fillId="0" borderId="11" xfId="78" applyNumberFormat="1" applyFont="1" applyFill="1" applyBorder="1" applyAlignment="1">
      <alignment horizontal="right" vertical="center"/>
      <protection/>
    </xf>
    <xf numFmtId="3" fontId="6" fillId="0" borderId="11" xfId="0" applyNumberFormat="1" applyFont="1" applyFill="1" applyBorder="1" applyAlignment="1">
      <alignment vertical="top"/>
    </xf>
    <xf numFmtId="0" fontId="110" fillId="0" borderId="20" xfId="0" applyFont="1" applyFill="1" applyBorder="1" applyAlignment="1">
      <alignment horizontal="left" vertical="center"/>
    </xf>
    <xf numFmtId="0" fontId="110" fillId="0" borderId="33" xfId="0" applyFont="1" applyBorder="1" applyAlignment="1">
      <alignment horizontal="left" vertical="center"/>
    </xf>
    <xf numFmtId="3" fontId="110" fillId="0" borderId="11" xfId="0" applyNumberFormat="1" applyFont="1" applyFill="1" applyBorder="1" applyAlignment="1">
      <alignment horizontal="right" vertical="center"/>
    </xf>
    <xf numFmtId="0" fontId="110" fillId="0" borderId="75" xfId="0" applyFont="1" applyFill="1" applyBorder="1" applyAlignment="1">
      <alignment horizontal="left" vertical="center"/>
    </xf>
    <xf numFmtId="3" fontId="110" fillId="0" borderId="11" xfId="0" applyNumberFormat="1" applyFont="1" applyFill="1" applyBorder="1" applyAlignment="1">
      <alignment/>
    </xf>
    <xf numFmtId="3" fontId="110" fillId="0" borderId="50" xfId="0" applyNumberFormat="1" applyFont="1" applyFill="1" applyBorder="1" applyAlignment="1">
      <alignment/>
    </xf>
    <xf numFmtId="0" fontId="110" fillId="0" borderId="33" xfId="0" applyFont="1" applyFill="1" applyBorder="1" applyAlignment="1">
      <alignment horizontal="left" vertical="center"/>
    </xf>
    <xf numFmtId="0" fontId="110" fillId="7" borderId="30" xfId="0" applyFont="1" applyFill="1" applyBorder="1" applyAlignment="1">
      <alignment horizontal="left" vertical="center" wrapText="1"/>
    </xf>
    <xf numFmtId="170" fontId="110" fillId="7" borderId="48" xfId="0" applyNumberFormat="1" applyFont="1" applyFill="1" applyBorder="1" applyAlignment="1">
      <alignment horizontal="right" vertical="center" wrapText="1"/>
    </xf>
    <xf numFmtId="0" fontId="110" fillId="7" borderId="12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right"/>
    </xf>
    <xf numFmtId="0" fontId="110" fillId="0" borderId="12" xfId="0" applyFont="1" applyFill="1" applyBorder="1" applyAlignment="1">
      <alignment/>
    </xf>
    <xf numFmtId="0" fontId="110" fillId="0" borderId="74" xfId="0" applyFont="1" applyFill="1" applyBorder="1" applyAlignment="1">
      <alignment horizontal="right" vertical="center"/>
    </xf>
    <xf numFmtId="0" fontId="129" fillId="33" borderId="20" xfId="0" applyFont="1" applyFill="1" applyBorder="1" applyAlignment="1">
      <alignment horizontal="center" vertical="center"/>
    </xf>
    <xf numFmtId="169" fontId="129" fillId="33" borderId="20" xfId="0" applyNumberFormat="1" applyFont="1" applyFill="1" applyBorder="1" applyAlignment="1">
      <alignment horizontal="center" vertical="center"/>
    </xf>
    <xf numFmtId="169" fontId="129" fillId="33" borderId="30" xfId="0" applyNumberFormat="1" applyFont="1" applyFill="1" applyBorder="1" applyAlignment="1">
      <alignment horizontal="center" vertical="center"/>
    </xf>
    <xf numFmtId="0" fontId="55" fillId="33" borderId="46" xfId="0" applyFont="1" applyFill="1" applyBorder="1" applyAlignment="1">
      <alignment horizontal="center" vertical="center" wrapText="1"/>
    </xf>
    <xf numFmtId="164" fontId="55" fillId="33" borderId="12" xfId="58" applyNumberFormat="1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 wrapText="1"/>
    </xf>
    <xf numFmtId="0" fontId="108" fillId="0" borderId="0" xfId="0" applyFont="1" applyAlignment="1">
      <alignment vertical="center"/>
    </xf>
    <xf numFmtId="0" fontId="111" fillId="0" borderId="10" xfId="0" applyFont="1" applyFill="1" applyBorder="1" applyAlignment="1">
      <alignment horizontal="center" vertical="center" wrapText="1"/>
    </xf>
    <xf numFmtId="17" fontId="6" fillId="33" borderId="45" xfId="0" applyNumberFormat="1" applyFont="1" applyFill="1" applyBorder="1" applyAlignment="1">
      <alignment horizontal="center" vertical="center" wrapText="1"/>
    </xf>
    <xf numFmtId="0" fontId="6" fillId="50" borderId="14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/>
    </xf>
    <xf numFmtId="1" fontId="57" fillId="0" borderId="58" xfId="0" applyNumberFormat="1" applyFont="1" applyBorder="1" applyAlignment="1">
      <alignment horizontal="center"/>
    </xf>
    <xf numFmtId="1" fontId="3" fillId="0" borderId="58" xfId="0" applyNumberFormat="1" applyFont="1" applyBorder="1" applyAlignment="1">
      <alignment horizontal="center"/>
    </xf>
    <xf numFmtId="1" fontId="57" fillId="0" borderId="23" xfId="0" applyNumberFormat="1" applyFont="1" applyFill="1" applyBorder="1" applyAlignment="1">
      <alignment horizontal="center"/>
    </xf>
    <xf numFmtId="1" fontId="50" fillId="51" borderId="20" xfId="0" applyNumberFormat="1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3" fontId="9" fillId="33" borderId="12" xfId="0" applyNumberFormat="1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130" fillId="7" borderId="10" xfId="0" applyFont="1" applyFill="1" applyBorder="1" applyAlignment="1">
      <alignment horizontal="center" vertical="center" textRotation="90"/>
    </xf>
    <xf numFmtId="0" fontId="130" fillId="5" borderId="10" xfId="0" applyFont="1" applyFill="1" applyBorder="1" applyAlignment="1">
      <alignment horizontal="center" vertical="center" textRotation="90"/>
    </xf>
    <xf numFmtId="0" fontId="130" fillId="2" borderId="10" xfId="0" applyFont="1" applyFill="1" applyBorder="1" applyAlignment="1">
      <alignment horizontal="center" vertical="center" textRotation="90"/>
    </xf>
    <xf numFmtId="0" fontId="130" fillId="2" borderId="11" xfId="0" applyFont="1" applyFill="1" applyBorder="1" applyAlignment="1">
      <alignment horizontal="center" vertical="center" textRotation="90"/>
    </xf>
    <xf numFmtId="0" fontId="130" fillId="0" borderId="21" xfId="0" applyFont="1" applyBorder="1" applyAlignment="1">
      <alignment horizontal="center" vertical="center"/>
    </xf>
    <xf numFmtId="0" fontId="130" fillId="7" borderId="21" xfId="0" applyFont="1" applyFill="1" applyBorder="1" applyAlignment="1">
      <alignment horizontal="center" vertical="center"/>
    </xf>
    <xf numFmtId="0" fontId="130" fillId="5" borderId="21" xfId="0" applyFont="1" applyFill="1" applyBorder="1" applyAlignment="1">
      <alignment horizontal="center" vertical="center"/>
    </xf>
    <xf numFmtId="0" fontId="130" fillId="2" borderId="21" xfId="0" applyFont="1" applyFill="1" applyBorder="1" applyAlignment="1">
      <alignment horizontal="center" vertical="center" textRotation="90"/>
    </xf>
    <xf numFmtId="0" fontId="130" fillId="2" borderId="50" xfId="0" applyFont="1" applyFill="1" applyBorder="1" applyAlignment="1">
      <alignment horizontal="center" vertical="center" textRotation="90"/>
    </xf>
    <xf numFmtId="0" fontId="106" fillId="33" borderId="49" xfId="0" applyFont="1" applyFill="1" applyBorder="1" applyAlignment="1">
      <alignment horizontal="left"/>
    </xf>
    <xf numFmtId="0" fontId="106" fillId="33" borderId="11" xfId="0" applyFont="1" applyFill="1" applyBorder="1" applyAlignment="1">
      <alignment horizontal="left"/>
    </xf>
    <xf numFmtId="0" fontId="106" fillId="33" borderId="13" xfId="0" applyFont="1" applyFill="1" applyBorder="1" applyAlignment="1">
      <alignment horizontal="left"/>
    </xf>
    <xf numFmtId="0" fontId="111" fillId="0" borderId="131" xfId="0" applyFont="1" applyBorder="1" applyAlignment="1">
      <alignment horizontal="center" vertical="center" wrapText="1"/>
    </xf>
    <xf numFmtId="0" fontId="14" fillId="48" borderId="10" xfId="0" applyFont="1" applyFill="1" applyBorder="1" applyAlignment="1">
      <alignment horizontal="center"/>
    </xf>
    <xf numFmtId="0" fontId="127" fillId="0" borderId="0" xfId="0" applyFont="1" applyAlignment="1">
      <alignment horizontal="center"/>
    </xf>
    <xf numFmtId="0" fontId="128" fillId="0" borderId="0" xfId="0" applyFont="1" applyAlignment="1">
      <alignment horizontal="center"/>
    </xf>
    <xf numFmtId="3" fontId="111" fillId="0" borderId="30" xfId="0" applyNumberFormat="1" applyFont="1" applyFill="1" applyBorder="1" applyAlignment="1">
      <alignment horizontal="center" vertical="center"/>
    </xf>
    <xf numFmtId="3" fontId="111" fillId="0" borderId="12" xfId="0" applyNumberFormat="1" applyFont="1" applyFill="1" applyBorder="1" applyAlignment="1">
      <alignment horizontal="center" vertical="center"/>
    </xf>
    <xf numFmtId="0" fontId="131" fillId="0" borderId="32" xfId="0" applyFont="1" applyBorder="1" applyAlignment="1">
      <alignment horizontal="center" vertical="center" wrapText="1"/>
    </xf>
    <xf numFmtId="0" fontId="131" fillId="0" borderId="131" xfId="0" applyFont="1" applyBorder="1" applyAlignment="1">
      <alignment horizontal="center" vertical="center" wrapText="1"/>
    </xf>
    <xf numFmtId="0" fontId="131" fillId="0" borderId="132" xfId="0" applyFont="1" applyBorder="1" applyAlignment="1">
      <alignment horizontal="center" vertical="center" wrapText="1"/>
    </xf>
    <xf numFmtId="3" fontId="111" fillId="0" borderId="68" xfId="0" applyNumberFormat="1" applyFont="1" applyBorder="1" applyAlignment="1">
      <alignment horizontal="center" vertical="center" wrapText="1"/>
    </xf>
    <xf numFmtId="3" fontId="111" fillId="0" borderId="51" xfId="0" applyNumberFormat="1" applyFont="1" applyBorder="1" applyAlignment="1">
      <alignment horizontal="center" vertical="center" wrapText="1"/>
    </xf>
    <xf numFmtId="3" fontId="111" fillId="33" borderId="32" xfId="0" applyNumberFormat="1" applyFont="1" applyFill="1" applyBorder="1" applyAlignment="1">
      <alignment horizontal="center" vertical="center" wrapText="1"/>
    </xf>
    <xf numFmtId="3" fontId="111" fillId="33" borderId="131" xfId="0" applyNumberFormat="1" applyFont="1" applyFill="1" applyBorder="1" applyAlignment="1">
      <alignment horizontal="center" vertical="center" wrapText="1"/>
    </xf>
    <xf numFmtId="3" fontId="111" fillId="33" borderId="132" xfId="0" applyNumberFormat="1" applyFont="1" applyFill="1" applyBorder="1" applyAlignment="1">
      <alignment horizontal="center" vertical="center" wrapText="1"/>
    </xf>
    <xf numFmtId="3" fontId="111" fillId="47" borderId="32" xfId="0" applyNumberFormat="1" applyFont="1" applyFill="1" applyBorder="1" applyAlignment="1">
      <alignment horizontal="center"/>
    </xf>
    <xf numFmtId="3" fontId="111" fillId="47" borderId="131" xfId="0" applyNumberFormat="1" applyFont="1" applyFill="1" applyBorder="1" applyAlignment="1">
      <alignment horizontal="center"/>
    </xf>
    <xf numFmtId="3" fontId="111" fillId="47" borderId="132" xfId="0" applyNumberFormat="1" applyFont="1" applyFill="1" applyBorder="1" applyAlignment="1">
      <alignment horizontal="center"/>
    </xf>
    <xf numFmtId="3" fontId="111" fillId="0" borderId="22" xfId="0" applyNumberFormat="1" applyFont="1" applyBorder="1" applyAlignment="1">
      <alignment horizontal="center" vertical="center"/>
    </xf>
    <xf numFmtId="3" fontId="111" fillId="0" borderId="17" xfId="0" applyNumberFormat="1" applyFont="1" applyBorder="1" applyAlignment="1">
      <alignment horizontal="center" vertical="center"/>
    </xf>
    <xf numFmtId="3" fontId="111" fillId="47" borderId="118" xfId="0" applyNumberFormat="1" applyFont="1" applyFill="1" applyBorder="1" applyAlignment="1">
      <alignment horizontal="center" vertical="center" wrapText="1"/>
    </xf>
    <xf numFmtId="0" fontId="111" fillId="47" borderId="29" xfId="0" applyFont="1" applyFill="1" applyBorder="1" applyAlignment="1">
      <alignment horizontal="center" vertical="center" wrapText="1"/>
    </xf>
    <xf numFmtId="0" fontId="111" fillId="47" borderId="55" xfId="0" applyFont="1" applyFill="1" applyBorder="1" applyAlignment="1">
      <alignment horizontal="center" vertical="center" wrapText="1"/>
    </xf>
    <xf numFmtId="3" fontId="111" fillId="0" borderId="44" xfId="0" applyNumberFormat="1" applyFont="1" applyBorder="1" applyAlignment="1">
      <alignment horizontal="center" vertical="center"/>
    </xf>
    <xf numFmtId="3" fontId="123" fillId="0" borderId="45" xfId="0" applyNumberFormat="1" applyFont="1" applyFill="1" applyBorder="1" applyAlignment="1">
      <alignment horizontal="left" vertical="center"/>
    </xf>
    <xf numFmtId="3" fontId="123" fillId="0" borderId="46" xfId="0" applyNumberFormat="1" applyFont="1" applyFill="1" applyBorder="1" applyAlignment="1">
      <alignment horizontal="left" vertical="center"/>
    </xf>
    <xf numFmtId="0" fontId="111" fillId="17" borderId="118" xfId="0" applyFont="1" applyFill="1" applyBorder="1" applyAlignment="1">
      <alignment horizontal="center" vertical="center" wrapText="1"/>
    </xf>
    <xf numFmtId="0" fontId="111" fillId="17" borderId="29" xfId="0" applyFont="1" applyFill="1" applyBorder="1" applyAlignment="1">
      <alignment horizontal="center" vertical="center" wrapText="1"/>
    </xf>
    <xf numFmtId="3" fontId="123" fillId="0" borderId="20" xfId="0" applyNumberFormat="1" applyFont="1" applyFill="1" applyBorder="1" applyAlignment="1">
      <alignment horizontal="left" vertical="center"/>
    </xf>
    <xf numFmtId="3" fontId="123" fillId="0" borderId="10" xfId="0" applyNumberFormat="1" applyFont="1" applyFill="1" applyBorder="1" applyAlignment="1">
      <alignment horizontal="left" vertical="center"/>
    </xf>
    <xf numFmtId="3" fontId="123" fillId="0" borderId="14" xfId="0" applyNumberFormat="1" applyFont="1" applyFill="1" applyBorder="1" applyAlignment="1">
      <alignment horizontal="left" vertical="center"/>
    </xf>
    <xf numFmtId="3" fontId="123" fillId="0" borderId="66" xfId="0" applyNumberFormat="1" applyFont="1" applyFill="1" applyBorder="1" applyAlignment="1">
      <alignment horizontal="left" vertical="center"/>
    </xf>
    <xf numFmtId="3" fontId="123" fillId="0" borderId="18" xfId="0" applyNumberFormat="1" applyFont="1" applyFill="1" applyBorder="1" applyAlignment="1">
      <alignment horizontal="left" vertical="center"/>
    </xf>
    <xf numFmtId="0" fontId="109" fillId="0" borderId="0" xfId="0" applyFont="1" applyAlignment="1">
      <alignment horizontal="center"/>
    </xf>
    <xf numFmtId="0" fontId="6" fillId="0" borderId="80" xfId="0" applyFont="1" applyBorder="1" applyAlignment="1">
      <alignment horizontal="center" vertical="center" wrapText="1"/>
    </xf>
    <xf numFmtId="0" fontId="6" fillId="0" borderId="117" xfId="0" applyFont="1" applyBorder="1" applyAlignment="1">
      <alignment horizontal="center" vertical="center" wrapText="1"/>
    </xf>
    <xf numFmtId="0" fontId="6" fillId="0" borderId="12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textRotation="90"/>
    </xf>
    <xf numFmtId="3" fontId="6" fillId="0" borderId="11" xfId="0" applyNumberFormat="1" applyFont="1" applyBorder="1" applyAlignment="1">
      <alignment horizontal="center" vertical="center" textRotation="90"/>
    </xf>
    <xf numFmtId="3" fontId="6" fillId="0" borderId="50" xfId="0" applyNumberFormat="1" applyFont="1" applyBorder="1" applyAlignment="1">
      <alignment horizontal="center" vertical="center" textRotation="90"/>
    </xf>
    <xf numFmtId="3" fontId="6" fillId="0" borderId="52" xfId="0" applyNumberFormat="1" applyFont="1" applyBorder="1" applyAlignment="1">
      <alignment horizontal="center" vertical="center" textRotation="90"/>
    </xf>
    <xf numFmtId="3" fontId="6" fillId="0" borderId="65" xfId="0" applyNumberFormat="1" applyFont="1" applyBorder="1" applyAlignment="1">
      <alignment horizontal="center" vertical="center" textRotation="90"/>
    </xf>
    <xf numFmtId="0" fontId="6" fillId="0" borderId="75" xfId="0" applyFont="1" applyBorder="1" applyAlignment="1">
      <alignment horizontal="center" vertical="center" textRotation="90"/>
    </xf>
    <xf numFmtId="0" fontId="6" fillId="0" borderId="41" xfId="0" applyFont="1" applyBorder="1" applyAlignment="1">
      <alignment horizontal="center" vertical="center" textRotation="90"/>
    </xf>
    <xf numFmtId="14" fontId="22" fillId="33" borderId="133" xfId="78" applyNumberFormat="1" applyFont="1" applyFill="1" applyBorder="1" applyAlignment="1">
      <alignment horizontal="left" vertical="center"/>
      <protection/>
    </xf>
    <xf numFmtId="14" fontId="22" fillId="33" borderId="18" xfId="78" applyNumberFormat="1" applyFont="1" applyFill="1" applyBorder="1" applyAlignment="1">
      <alignment horizontal="left" vertical="center"/>
      <protection/>
    </xf>
    <xf numFmtId="0" fontId="13" fillId="33" borderId="133" xfId="78" applyFont="1" applyFill="1" applyBorder="1" applyAlignment="1">
      <alignment horizontal="left" vertical="center" wrapText="1"/>
      <protection/>
    </xf>
    <xf numFmtId="0" fontId="13" fillId="33" borderId="18" xfId="78" applyFont="1" applyFill="1" applyBorder="1" applyAlignment="1">
      <alignment horizontal="left" vertical="center" wrapText="1"/>
      <protection/>
    </xf>
    <xf numFmtId="14" fontId="22" fillId="0" borderId="134" xfId="78" applyNumberFormat="1" applyFont="1" applyFill="1" applyBorder="1" applyAlignment="1">
      <alignment horizontal="left" vertical="center"/>
      <protection/>
    </xf>
    <xf numFmtId="14" fontId="22" fillId="0" borderId="51" xfId="78" applyNumberFormat="1" applyFont="1" applyFill="1" applyBorder="1" applyAlignment="1">
      <alignment horizontal="left" vertical="center"/>
      <protection/>
    </xf>
    <xf numFmtId="14" fontId="22" fillId="33" borderId="135" xfId="78" applyNumberFormat="1" applyFont="1" applyFill="1" applyBorder="1" applyAlignment="1">
      <alignment horizontal="left" vertical="center"/>
      <protection/>
    </xf>
    <xf numFmtId="14" fontId="22" fillId="33" borderId="82" xfId="78" applyNumberFormat="1" applyFont="1" applyFill="1" applyBorder="1" applyAlignment="1">
      <alignment horizontal="left" vertical="center"/>
      <protection/>
    </xf>
    <xf numFmtId="14" fontId="13" fillId="0" borderId="135" xfId="78" applyNumberFormat="1" applyFont="1" applyFill="1" applyBorder="1" applyAlignment="1">
      <alignment horizontal="center" vertical="center" wrapText="1"/>
      <protection/>
    </xf>
    <xf numFmtId="14" fontId="22" fillId="0" borderId="82" xfId="78" applyNumberFormat="1" applyFont="1" applyFill="1" applyBorder="1" applyAlignment="1">
      <alignment horizontal="center" vertical="center" wrapText="1"/>
      <protection/>
    </xf>
    <xf numFmtId="0" fontId="14" fillId="38" borderId="0" xfId="78" applyFont="1" applyFill="1" applyAlignment="1">
      <alignment horizontal="center" vertical="center"/>
      <protection/>
    </xf>
    <xf numFmtId="0" fontId="22" fillId="0" borderId="135" xfId="78" applyFont="1" applyFill="1" applyBorder="1" applyAlignment="1">
      <alignment horizontal="left" vertical="center" wrapText="1"/>
      <protection/>
    </xf>
    <xf numFmtId="0" fontId="22" fillId="0" borderId="82" xfId="78" applyFont="1" applyFill="1" applyBorder="1" applyAlignment="1">
      <alignment horizontal="left" vertical="center" wrapText="1"/>
      <protection/>
    </xf>
    <xf numFmtId="0" fontId="22" fillId="0" borderId="135" xfId="78" applyFont="1" applyFill="1" applyBorder="1" applyAlignment="1">
      <alignment horizontal="center" vertical="center" wrapText="1"/>
      <protection/>
    </xf>
    <xf numFmtId="0" fontId="22" fillId="0" borderId="136" xfId="78" applyFont="1" applyFill="1" applyBorder="1" applyAlignment="1">
      <alignment horizontal="center" vertical="center" wrapText="1"/>
      <protection/>
    </xf>
    <xf numFmtId="0" fontId="22" fillId="0" borderId="137" xfId="78" applyFont="1" applyFill="1" applyBorder="1" applyAlignment="1">
      <alignment horizontal="center" vertical="center" wrapText="1"/>
      <protection/>
    </xf>
    <xf numFmtId="0" fontId="22" fillId="0" borderId="136" xfId="78" applyFont="1" applyFill="1" applyBorder="1" applyAlignment="1">
      <alignment horizontal="left" vertical="center" wrapText="1"/>
      <protection/>
    </xf>
    <xf numFmtId="0" fontId="13" fillId="38" borderId="138" xfId="78" applyFont="1" applyFill="1" applyBorder="1" applyAlignment="1">
      <alignment horizontal="right" vertical="center" wrapText="1"/>
      <protection/>
    </xf>
    <xf numFmtId="0" fontId="13" fillId="38" borderId="139" xfId="78" applyFont="1" applyFill="1" applyBorder="1" applyAlignment="1">
      <alignment horizontal="right" vertical="center" wrapText="1"/>
      <protection/>
    </xf>
    <xf numFmtId="14" fontId="22" fillId="0" borderId="133" xfId="78" applyNumberFormat="1" applyFont="1" applyFill="1" applyBorder="1" applyAlignment="1">
      <alignment horizontal="left" vertical="center"/>
      <protection/>
    </xf>
    <xf numFmtId="14" fontId="22" fillId="0" borderId="18" xfId="78" applyNumberFormat="1" applyFont="1" applyFill="1" applyBorder="1" applyAlignment="1">
      <alignment horizontal="left" vertical="center"/>
      <protection/>
    </xf>
    <xf numFmtId="14" fontId="33" fillId="0" borderId="135" xfId="78" applyNumberFormat="1" applyFont="1" applyFill="1" applyBorder="1" applyAlignment="1">
      <alignment horizontal="center" vertical="center"/>
      <protection/>
    </xf>
    <xf numFmtId="14" fontId="33" fillId="0" borderId="82" xfId="78" applyNumberFormat="1" applyFont="1" applyFill="1" applyBorder="1" applyAlignment="1">
      <alignment horizontal="center" vertical="center"/>
      <protection/>
    </xf>
    <xf numFmtId="14" fontId="22" fillId="33" borderId="140" xfId="78" applyNumberFormat="1" applyFont="1" applyFill="1" applyBorder="1" applyAlignment="1">
      <alignment horizontal="left" vertical="center"/>
      <protection/>
    </xf>
    <xf numFmtId="14" fontId="22" fillId="33" borderId="84" xfId="78" applyNumberFormat="1" applyFont="1" applyFill="1" applyBorder="1" applyAlignment="1">
      <alignment horizontal="left" vertical="center"/>
      <protection/>
    </xf>
    <xf numFmtId="169" fontId="22" fillId="38" borderId="133" xfId="78" applyNumberFormat="1" applyFont="1" applyFill="1" applyBorder="1" applyAlignment="1">
      <alignment vertical="center" wrapText="1"/>
      <protection/>
    </xf>
    <xf numFmtId="169" fontId="22" fillId="38" borderId="18" xfId="78" applyNumberFormat="1" applyFont="1" applyFill="1" applyBorder="1" applyAlignment="1">
      <alignment vertical="center" wrapText="1"/>
      <protection/>
    </xf>
    <xf numFmtId="169" fontId="22" fillId="38" borderId="141" xfId="78" applyNumberFormat="1" applyFont="1" applyFill="1" applyBorder="1" applyAlignment="1">
      <alignment vertical="center" wrapText="1"/>
      <protection/>
    </xf>
    <xf numFmtId="169" fontId="22" fillId="38" borderId="68" xfId="78" applyNumberFormat="1" applyFont="1" applyFill="1" applyBorder="1" applyAlignment="1">
      <alignment vertical="center" wrapText="1"/>
      <protection/>
    </xf>
    <xf numFmtId="0" fontId="111" fillId="49" borderId="32" xfId="0" applyFont="1" applyFill="1" applyBorder="1" applyAlignment="1">
      <alignment horizontal="center" vertical="center"/>
    </xf>
    <xf numFmtId="0" fontId="111" fillId="49" borderId="131" xfId="0" applyFont="1" applyFill="1" applyBorder="1" applyAlignment="1">
      <alignment horizontal="center" vertical="center"/>
    </xf>
    <xf numFmtId="0" fontId="111" fillId="49" borderId="72" xfId="0" applyFont="1" applyFill="1" applyBorder="1" applyAlignment="1">
      <alignment horizontal="center" vertical="center"/>
    </xf>
    <xf numFmtId="0" fontId="132" fillId="0" borderId="19" xfId="0" applyFont="1" applyFill="1" applyBorder="1" applyAlignment="1">
      <alignment horizontal="left" vertical="center"/>
    </xf>
    <xf numFmtId="0" fontId="132" fillId="0" borderId="79" xfId="0" applyFont="1" applyFill="1" applyBorder="1" applyAlignment="1">
      <alignment horizontal="left" vertical="center"/>
    </xf>
    <xf numFmtId="0" fontId="132" fillId="0" borderId="31" xfId="0" applyFont="1" applyFill="1" applyBorder="1" applyAlignment="1">
      <alignment horizontal="left" vertical="center"/>
    </xf>
    <xf numFmtId="0" fontId="132" fillId="0" borderId="121" xfId="0" applyFont="1" applyFill="1" applyBorder="1" applyAlignment="1">
      <alignment horizontal="left" vertical="center"/>
    </xf>
    <xf numFmtId="0" fontId="111" fillId="0" borderId="31" xfId="0" applyFont="1" applyFill="1" applyBorder="1" applyAlignment="1">
      <alignment horizontal="left" vertical="center"/>
    </xf>
    <xf numFmtId="0" fontId="111" fillId="0" borderId="121" xfId="0" applyFont="1" applyFill="1" applyBorder="1" applyAlignment="1">
      <alignment horizontal="left" vertical="center"/>
    </xf>
    <xf numFmtId="0" fontId="132" fillId="0" borderId="47" xfId="0" applyFont="1" applyFill="1" applyBorder="1" applyAlignment="1">
      <alignment horizontal="left" vertical="center"/>
    </xf>
    <xf numFmtId="0" fontId="132" fillId="0" borderId="123" xfId="0" applyFont="1" applyFill="1" applyBorder="1" applyAlignment="1">
      <alignment horizontal="left" vertical="center"/>
    </xf>
    <xf numFmtId="0" fontId="110" fillId="0" borderId="19" xfId="0" applyFont="1" applyFill="1" applyBorder="1" applyAlignment="1">
      <alignment horizontal="left" vertical="center" wrapText="1"/>
    </xf>
    <xf numFmtId="0" fontId="110" fillId="0" borderId="7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79" xfId="0" applyFont="1" applyFill="1" applyBorder="1" applyAlignment="1">
      <alignment horizontal="left" vertical="center" wrapText="1"/>
    </xf>
    <xf numFmtId="0" fontId="111" fillId="0" borderId="47" xfId="0" applyFont="1" applyFill="1" applyBorder="1" applyAlignment="1">
      <alignment horizontal="left" vertical="center"/>
    </xf>
    <xf numFmtId="0" fontId="111" fillId="0" borderId="123" xfId="0" applyFont="1" applyFill="1" applyBorder="1" applyAlignment="1">
      <alignment horizontal="left" vertical="center"/>
    </xf>
    <xf numFmtId="0" fontId="110" fillId="0" borderId="19" xfId="0" applyFont="1" applyFill="1" applyBorder="1" applyAlignment="1">
      <alignment horizontal="left" vertical="center"/>
    </xf>
    <xf numFmtId="0" fontId="110" fillId="0" borderId="79" xfId="0" applyFont="1" applyFill="1" applyBorder="1" applyAlignment="1">
      <alignment horizontal="left" vertical="center"/>
    </xf>
    <xf numFmtId="0" fontId="111" fillId="0" borderId="19" xfId="0" applyFont="1" applyFill="1" applyBorder="1" applyAlignment="1">
      <alignment horizontal="left" vertical="center"/>
    </xf>
    <xf numFmtId="0" fontId="111" fillId="0" borderId="79" xfId="0" applyFont="1" applyFill="1" applyBorder="1" applyAlignment="1">
      <alignment horizontal="left" vertical="center"/>
    </xf>
    <xf numFmtId="0" fontId="110" fillId="0" borderId="19" xfId="0" applyFont="1" applyFill="1" applyBorder="1" applyAlignment="1">
      <alignment horizontal="center" vertical="center" wrapText="1"/>
    </xf>
    <xf numFmtId="0" fontId="110" fillId="0" borderId="79" xfId="0" applyFont="1" applyFill="1" applyBorder="1" applyAlignment="1">
      <alignment horizontal="center" vertical="center" wrapText="1"/>
    </xf>
    <xf numFmtId="3" fontId="6" fillId="0" borderId="50" xfId="0" applyNumberFormat="1" applyFont="1" applyFill="1" applyBorder="1" applyAlignment="1">
      <alignment horizontal="right" vertical="center"/>
    </xf>
    <xf numFmtId="3" fontId="6" fillId="0" borderId="65" xfId="0" applyNumberFormat="1" applyFont="1" applyFill="1" applyBorder="1" applyAlignment="1">
      <alignment horizontal="right" vertical="center"/>
    </xf>
    <xf numFmtId="3" fontId="111" fillId="0" borderId="50" xfId="0" applyNumberFormat="1" applyFont="1" applyFill="1" applyBorder="1" applyAlignment="1">
      <alignment horizontal="right" vertical="center"/>
    </xf>
    <xf numFmtId="3" fontId="111" fillId="0" borderId="52" xfId="0" applyNumberFormat="1" applyFont="1" applyFill="1" applyBorder="1" applyAlignment="1">
      <alignment horizontal="right" vertical="center"/>
    </xf>
    <xf numFmtId="3" fontId="111" fillId="0" borderId="65" xfId="0" applyNumberFormat="1" applyFont="1" applyFill="1" applyBorder="1" applyAlignment="1">
      <alignment horizontal="right" vertical="center"/>
    </xf>
    <xf numFmtId="3" fontId="6" fillId="0" borderId="52" xfId="0" applyNumberFormat="1" applyFont="1" applyFill="1" applyBorder="1" applyAlignment="1">
      <alignment horizontal="right" vertical="center"/>
    </xf>
    <xf numFmtId="3" fontId="110" fillId="0" borderId="11" xfId="0" applyNumberFormat="1" applyFont="1" applyFill="1" applyBorder="1" applyAlignment="1">
      <alignment horizontal="right" vertical="center"/>
    </xf>
    <xf numFmtId="3" fontId="111" fillId="0" borderId="21" xfId="0" applyNumberFormat="1" applyFont="1" applyFill="1" applyBorder="1" applyAlignment="1">
      <alignment horizontal="right" vertical="center"/>
    </xf>
    <xf numFmtId="3" fontId="111" fillId="0" borderId="42" xfId="0" applyNumberFormat="1" applyFont="1" applyFill="1" applyBorder="1" applyAlignment="1">
      <alignment horizontal="right" vertical="center"/>
    </xf>
    <xf numFmtId="3" fontId="111" fillId="0" borderId="16" xfId="0" applyNumberFormat="1" applyFont="1" applyFill="1" applyBorder="1" applyAlignment="1">
      <alignment horizontal="right" vertical="center"/>
    </xf>
    <xf numFmtId="0" fontId="111" fillId="9" borderId="19" xfId="0" applyFont="1" applyFill="1" applyBorder="1" applyAlignment="1">
      <alignment horizontal="center"/>
    </xf>
    <xf numFmtId="0" fontId="111" fillId="9" borderId="66" xfId="0" applyFont="1" applyFill="1" applyBorder="1" applyAlignment="1">
      <alignment horizontal="center"/>
    </xf>
    <xf numFmtId="0" fontId="111" fillId="9" borderId="18" xfId="0" applyFont="1" applyFill="1" applyBorder="1" applyAlignment="1">
      <alignment horizontal="center"/>
    </xf>
    <xf numFmtId="170" fontId="111" fillId="0" borderId="21" xfId="0" applyNumberFormat="1" applyFont="1" applyFill="1" applyBorder="1" applyAlignment="1">
      <alignment horizontal="center" vertical="center" wrapText="1"/>
    </xf>
    <xf numFmtId="170" fontId="111" fillId="0" borderId="42" xfId="0" applyNumberFormat="1" applyFont="1" applyFill="1" applyBorder="1" applyAlignment="1">
      <alignment horizontal="center" vertical="center" wrapText="1"/>
    </xf>
    <xf numFmtId="170" fontId="111" fillId="0" borderId="16" xfId="0" applyNumberFormat="1" applyFont="1" applyFill="1" applyBorder="1" applyAlignment="1">
      <alignment horizontal="center" vertical="center" wrapText="1"/>
    </xf>
    <xf numFmtId="0" fontId="110" fillId="0" borderId="10" xfId="0" applyFont="1" applyFill="1" applyBorder="1" applyAlignment="1">
      <alignment horizontal="left" vertical="center" wrapText="1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42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170" fontId="110" fillId="0" borderId="21" xfId="0" applyNumberFormat="1" applyFont="1" applyFill="1" applyBorder="1" applyAlignment="1">
      <alignment horizontal="right" vertical="center" wrapText="1"/>
    </xf>
    <xf numFmtId="170" fontId="110" fillId="0" borderId="16" xfId="0" applyNumberFormat="1" applyFont="1" applyFill="1" applyBorder="1" applyAlignment="1">
      <alignment horizontal="right" vertical="center" wrapText="1"/>
    </xf>
    <xf numFmtId="0" fontId="110" fillId="0" borderId="21" xfId="0" applyFont="1" applyBorder="1" applyAlignment="1">
      <alignment horizontal="left" vertical="center" wrapText="1"/>
    </xf>
    <xf numFmtId="0" fontId="110" fillId="0" borderId="16" xfId="0" applyFont="1" applyBorder="1" applyAlignment="1">
      <alignment horizontal="left" vertical="center" wrapText="1"/>
    </xf>
    <xf numFmtId="0" fontId="110" fillId="0" borderId="10" xfId="0" applyFont="1" applyBorder="1" applyAlignment="1">
      <alignment horizontal="left" vertical="center" wrapText="1"/>
    </xf>
    <xf numFmtId="0" fontId="110" fillId="0" borderId="21" xfId="0" applyFont="1" applyBorder="1" applyAlignment="1">
      <alignment horizontal="center" vertical="center" wrapText="1"/>
    </xf>
    <xf numFmtId="0" fontId="110" fillId="0" borderId="42" xfId="0" applyFont="1" applyBorder="1" applyAlignment="1">
      <alignment horizontal="center" vertical="center" wrapText="1"/>
    </xf>
    <xf numFmtId="0" fontId="110" fillId="0" borderId="16" xfId="0" applyFont="1" applyBorder="1" applyAlignment="1">
      <alignment horizontal="center" vertical="center" wrapText="1"/>
    </xf>
    <xf numFmtId="3" fontId="6" fillId="0" borderId="50" xfId="0" applyNumberFormat="1" applyFont="1" applyFill="1" applyBorder="1" applyAlignment="1">
      <alignment horizontal="center" vertical="top"/>
    </xf>
    <xf numFmtId="3" fontId="6" fillId="0" borderId="52" xfId="0" applyNumberFormat="1" applyFont="1" applyFill="1" applyBorder="1" applyAlignment="1">
      <alignment horizontal="center" vertical="top"/>
    </xf>
    <xf numFmtId="3" fontId="6" fillId="0" borderId="65" xfId="0" applyNumberFormat="1" applyFont="1" applyFill="1" applyBorder="1" applyAlignment="1">
      <alignment horizontal="center" vertical="top"/>
    </xf>
    <xf numFmtId="3" fontId="6" fillId="0" borderId="21" xfId="0" applyNumberFormat="1" applyFont="1" applyFill="1" applyBorder="1" applyAlignment="1">
      <alignment horizontal="center" vertical="top"/>
    </xf>
    <xf numFmtId="3" fontId="6" fillId="0" borderId="42" xfId="0" applyNumberFormat="1" applyFont="1" applyFill="1" applyBorder="1" applyAlignment="1">
      <alignment horizontal="center" vertical="top"/>
    </xf>
    <xf numFmtId="3" fontId="6" fillId="0" borderId="16" xfId="0" applyNumberFormat="1" applyFont="1" applyFill="1" applyBorder="1" applyAlignment="1">
      <alignment horizontal="center" vertical="top"/>
    </xf>
    <xf numFmtId="0" fontId="110" fillId="0" borderId="21" xfId="0" applyFont="1" applyFill="1" applyBorder="1" applyAlignment="1">
      <alignment horizontal="left" vertical="center" wrapText="1"/>
    </xf>
    <xf numFmtId="0" fontId="110" fillId="0" borderId="42" xfId="0" applyFont="1" applyFill="1" applyBorder="1" applyAlignment="1">
      <alignment horizontal="left" vertical="center" wrapText="1"/>
    </xf>
    <xf numFmtId="0" fontId="110" fillId="0" borderId="16" xfId="0" applyFont="1" applyFill="1" applyBorder="1" applyAlignment="1">
      <alignment horizontal="left" vertical="center" wrapText="1"/>
    </xf>
    <xf numFmtId="3" fontId="9" fillId="0" borderId="22" xfId="78" applyNumberFormat="1" applyFont="1" applyFill="1" applyBorder="1" applyAlignment="1">
      <alignment horizontal="right" vertical="center"/>
      <protection/>
    </xf>
    <xf numFmtId="3" fontId="9" fillId="0" borderId="44" xfId="78" applyNumberFormat="1" applyFont="1" applyFill="1" applyBorder="1" applyAlignment="1">
      <alignment horizontal="right" vertical="center"/>
      <protection/>
    </xf>
    <xf numFmtId="3" fontId="9" fillId="0" borderId="17" xfId="78" applyNumberFormat="1" applyFont="1" applyFill="1" applyBorder="1" applyAlignment="1">
      <alignment horizontal="right" vertical="center"/>
      <protection/>
    </xf>
    <xf numFmtId="170" fontId="111" fillId="0" borderId="21" xfId="0" applyNumberFormat="1" applyFont="1" applyFill="1" applyBorder="1" applyAlignment="1">
      <alignment horizontal="right" vertical="center" wrapText="1"/>
    </xf>
    <xf numFmtId="170" fontId="111" fillId="0" borderId="42" xfId="0" applyNumberFormat="1" applyFont="1" applyFill="1" applyBorder="1" applyAlignment="1">
      <alignment horizontal="right" vertical="center" wrapText="1"/>
    </xf>
    <xf numFmtId="170" fontId="111" fillId="0" borderId="16" xfId="0" applyNumberFormat="1" applyFont="1" applyFill="1" applyBorder="1" applyAlignment="1">
      <alignment horizontal="right" vertical="center" wrapText="1"/>
    </xf>
    <xf numFmtId="0" fontId="111" fillId="9" borderId="80" xfId="0" applyFont="1" applyFill="1" applyBorder="1" applyAlignment="1">
      <alignment horizontal="center" vertical="center"/>
    </xf>
    <xf numFmtId="0" fontId="111" fillId="9" borderId="117" xfId="0" applyFont="1" applyFill="1" applyBorder="1" applyAlignment="1">
      <alignment horizontal="center" vertical="center"/>
    </xf>
    <xf numFmtId="0" fontId="111" fillId="9" borderId="123" xfId="0" applyFont="1" applyFill="1" applyBorder="1" applyAlignment="1">
      <alignment horizontal="center" vertical="center"/>
    </xf>
    <xf numFmtId="3" fontId="111" fillId="0" borderId="10" xfId="0" applyNumberFormat="1" applyFont="1" applyFill="1" applyBorder="1" applyAlignment="1">
      <alignment horizontal="right" vertical="center"/>
    </xf>
    <xf numFmtId="3" fontId="111" fillId="0" borderId="19" xfId="0" applyNumberFormat="1" applyFont="1" applyFill="1" applyBorder="1" applyAlignment="1">
      <alignment horizontal="right" vertical="center"/>
    </xf>
    <xf numFmtId="165" fontId="7" fillId="0" borderId="10" xfId="42" applyNumberFormat="1" applyFont="1" applyBorder="1" applyAlignment="1">
      <alignment horizontal="center" vertical="center"/>
    </xf>
    <xf numFmtId="165" fontId="6" fillId="0" borderId="10" xfId="42" applyNumberFormat="1" applyFont="1" applyBorder="1" applyAlignment="1">
      <alignment horizontal="center" vertical="center"/>
    </xf>
    <xf numFmtId="0" fontId="109" fillId="0" borderId="117" xfId="0" applyFont="1" applyBorder="1" applyAlignment="1">
      <alignment horizontal="center" vertical="center" wrapText="1"/>
    </xf>
    <xf numFmtId="0" fontId="109" fillId="0" borderId="123" xfId="0" applyFont="1" applyBorder="1" applyAlignment="1">
      <alignment horizontal="center" vertical="center" wrapText="1"/>
    </xf>
    <xf numFmtId="0" fontId="109" fillId="0" borderId="10" xfId="0" applyFont="1" applyBorder="1" applyAlignment="1">
      <alignment horizontal="center"/>
    </xf>
    <xf numFmtId="0" fontId="109" fillId="0" borderId="10" xfId="0" applyFont="1" applyBorder="1" applyAlignment="1">
      <alignment horizontal="center" vertical="center" wrapText="1"/>
    </xf>
    <xf numFmtId="0" fontId="109" fillId="0" borderId="10" xfId="0" applyFont="1" applyBorder="1" applyAlignment="1">
      <alignment horizontal="center" vertical="center"/>
    </xf>
    <xf numFmtId="0" fontId="109" fillId="0" borderId="10" xfId="0" applyFont="1" applyBorder="1" applyAlignment="1">
      <alignment horizontal="center" vertical="center" textRotation="90"/>
    </xf>
    <xf numFmtId="0" fontId="5" fillId="0" borderId="32" xfId="0" applyFont="1" applyBorder="1" applyAlignment="1">
      <alignment horizontal="center"/>
    </xf>
    <xf numFmtId="0" fontId="5" fillId="0" borderId="131" xfId="0" applyFont="1" applyBorder="1" applyAlignment="1">
      <alignment horizontal="center"/>
    </xf>
    <xf numFmtId="0" fontId="5" fillId="0" borderId="132" xfId="0" applyFont="1" applyBorder="1" applyAlignment="1">
      <alignment horizontal="center"/>
    </xf>
    <xf numFmtId="0" fontId="55" fillId="33" borderId="24" xfId="0" applyFont="1" applyFill="1" applyBorder="1" applyAlignment="1">
      <alignment horizontal="center" vertical="center" wrapText="1"/>
    </xf>
    <xf numFmtId="0" fontId="55" fillId="33" borderId="38" xfId="0" applyFont="1" applyFill="1" applyBorder="1" applyAlignment="1">
      <alignment horizontal="center" vertical="center" wrapText="1"/>
    </xf>
    <xf numFmtId="0" fontId="55" fillId="33" borderId="59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55" fillId="33" borderId="56" xfId="0" applyFont="1" applyFill="1" applyBorder="1" applyAlignment="1">
      <alignment horizontal="center" vertical="center" wrapText="1"/>
    </xf>
    <xf numFmtId="0" fontId="55" fillId="33" borderId="65" xfId="0" applyFont="1" applyFill="1" applyBorder="1" applyAlignment="1">
      <alignment horizontal="center" vertical="center" wrapText="1"/>
    </xf>
    <xf numFmtId="0" fontId="54" fillId="0" borderId="35" xfId="0" applyFont="1" applyBorder="1" applyAlignment="1">
      <alignment horizontal="center"/>
    </xf>
    <xf numFmtId="0" fontId="54" fillId="0" borderId="36" xfId="0" applyFont="1" applyBorder="1" applyAlignment="1">
      <alignment horizontal="center"/>
    </xf>
    <xf numFmtId="0" fontId="54" fillId="0" borderId="32" xfId="0" applyFont="1" applyBorder="1" applyAlignment="1">
      <alignment horizontal="center"/>
    </xf>
    <xf numFmtId="0" fontId="54" fillId="0" borderId="131" xfId="0" applyFont="1" applyBorder="1" applyAlignment="1">
      <alignment horizontal="center"/>
    </xf>
    <xf numFmtId="0" fontId="54" fillId="0" borderId="132" xfId="0" applyFont="1" applyBorder="1" applyAlignment="1">
      <alignment horizontal="center"/>
    </xf>
    <xf numFmtId="0" fontId="133" fillId="0" borderId="36" xfId="0" applyFont="1" applyBorder="1" applyAlignment="1">
      <alignment horizontal="center" vertical="center"/>
    </xf>
    <xf numFmtId="0" fontId="56" fillId="19" borderId="45" xfId="0" applyFont="1" applyFill="1" applyBorder="1" applyAlignment="1">
      <alignment horizontal="center"/>
    </xf>
    <xf numFmtId="0" fontId="56" fillId="19" borderId="46" xfId="0" applyFont="1" applyFill="1" applyBorder="1" applyAlignment="1">
      <alignment horizontal="center"/>
    </xf>
    <xf numFmtId="0" fontId="56" fillId="19" borderId="49" xfId="0" applyFont="1" applyFill="1" applyBorder="1" applyAlignment="1">
      <alignment horizontal="center"/>
    </xf>
    <xf numFmtId="0" fontId="56" fillId="16" borderId="45" xfId="0" applyFont="1" applyFill="1" applyBorder="1" applyAlignment="1">
      <alignment horizontal="center"/>
    </xf>
    <xf numFmtId="0" fontId="56" fillId="16" borderId="46" xfId="0" applyFont="1" applyFill="1" applyBorder="1" applyAlignment="1">
      <alignment horizontal="center"/>
    </xf>
    <xf numFmtId="0" fontId="56" fillId="16" borderId="49" xfId="0" applyFont="1" applyFill="1" applyBorder="1" applyAlignment="1">
      <alignment horizontal="center"/>
    </xf>
    <xf numFmtId="0" fontId="56" fillId="17" borderId="45" xfId="0" applyFont="1" applyFill="1" applyBorder="1" applyAlignment="1">
      <alignment horizontal="center"/>
    </xf>
    <xf numFmtId="0" fontId="56" fillId="17" borderId="46" xfId="0" applyFont="1" applyFill="1" applyBorder="1" applyAlignment="1">
      <alignment horizontal="center"/>
    </xf>
    <xf numFmtId="0" fontId="56" fillId="17" borderId="49" xfId="0" applyFont="1" applyFill="1" applyBorder="1" applyAlignment="1">
      <alignment horizontal="center"/>
    </xf>
    <xf numFmtId="0" fontId="131" fillId="0" borderId="10" xfId="0" applyFont="1" applyBorder="1" applyAlignment="1">
      <alignment horizontal="center" vertical="center"/>
    </xf>
    <xf numFmtId="1" fontId="50" fillId="51" borderId="10" xfId="0" applyNumberFormat="1" applyFont="1" applyFill="1" applyBorder="1" applyAlignment="1">
      <alignment horizontal="center"/>
    </xf>
    <xf numFmtId="1" fontId="50" fillId="51" borderId="11" xfId="0" applyNumberFormat="1" applyFont="1" applyFill="1" applyBorder="1" applyAlignment="1">
      <alignment horizontal="center"/>
    </xf>
    <xf numFmtId="0" fontId="58" fillId="0" borderId="35" xfId="0" applyFont="1" applyBorder="1" applyAlignment="1">
      <alignment horizontal="center"/>
    </xf>
    <xf numFmtId="0" fontId="58" fillId="0" borderId="36" xfId="0" applyFont="1" applyBorder="1" applyAlignment="1">
      <alignment horizontal="center"/>
    </xf>
    <xf numFmtId="0" fontId="44" fillId="0" borderId="24" xfId="0" applyFont="1" applyBorder="1" applyAlignment="1">
      <alignment horizontal="center" vertical="center" wrapText="1"/>
    </xf>
    <xf numFmtId="0" fontId="44" fillId="0" borderId="59" xfId="0" applyFont="1" applyBorder="1" applyAlignment="1">
      <alignment horizontal="center" vertical="center" wrapText="1"/>
    </xf>
    <xf numFmtId="0" fontId="44" fillId="0" borderId="126" xfId="0" applyFont="1" applyBorder="1" applyAlignment="1">
      <alignment horizontal="center" vertical="center" wrapText="1"/>
    </xf>
    <xf numFmtId="0" fontId="44" fillId="0" borderId="56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 textRotation="90"/>
    </xf>
    <xf numFmtId="0" fontId="26" fillId="0" borderId="37" xfId="0" applyFont="1" applyBorder="1" applyAlignment="1">
      <alignment horizontal="center" vertical="center" textRotation="90"/>
    </xf>
    <xf numFmtId="0" fontId="44" fillId="4" borderId="45" xfId="0" applyFont="1" applyFill="1" applyBorder="1" applyAlignment="1">
      <alignment horizontal="center" vertical="center"/>
    </xf>
    <xf numFmtId="0" fontId="44" fillId="4" borderId="46" xfId="0" applyFont="1" applyFill="1" applyBorder="1" applyAlignment="1">
      <alignment horizontal="center" vertical="center"/>
    </xf>
    <xf numFmtId="0" fontId="44" fillId="4" borderId="49" xfId="0" applyFont="1" applyFill="1" applyBorder="1" applyAlignment="1">
      <alignment horizontal="center" vertical="center"/>
    </xf>
    <xf numFmtId="0" fontId="117" fillId="4" borderId="10" xfId="0" applyFont="1" applyFill="1" applyBorder="1" applyAlignment="1">
      <alignment horizontal="center" vertical="center"/>
    </xf>
    <xf numFmtId="0" fontId="117" fillId="4" borderId="1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17" fillId="4" borderId="12" xfId="0" applyFont="1" applyFill="1" applyBorder="1" applyAlignment="1">
      <alignment horizontal="center" vertical="center"/>
    </xf>
    <xf numFmtId="0" fontId="117" fillId="4" borderId="13" xfId="0" applyFont="1" applyFill="1" applyBorder="1" applyAlignment="1">
      <alignment horizontal="center" vertical="center"/>
    </xf>
    <xf numFmtId="0" fontId="118" fillId="0" borderId="45" xfId="0" applyFont="1" applyBorder="1" applyAlignment="1">
      <alignment horizontal="center" vertical="center"/>
    </xf>
    <xf numFmtId="0" fontId="118" fillId="0" borderId="20" xfId="0" applyFont="1" applyBorder="1" applyAlignment="1">
      <alignment horizontal="center" vertical="center"/>
    </xf>
    <xf numFmtId="0" fontId="118" fillId="0" borderId="30" xfId="0" applyFont="1" applyBorder="1" applyAlignment="1">
      <alignment horizontal="center" vertical="center"/>
    </xf>
    <xf numFmtId="0" fontId="118" fillId="3" borderId="45" xfId="0" applyFont="1" applyFill="1" applyBorder="1" applyAlignment="1">
      <alignment horizontal="center" vertical="center"/>
    </xf>
    <xf numFmtId="0" fontId="118" fillId="3" borderId="46" xfId="0" applyFont="1" applyFill="1" applyBorder="1" applyAlignment="1">
      <alignment horizontal="center" vertical="center"/>
    </xf>
    <xf numFmtId="0" fontId="118" fillId="3" borderId="49" xfId="0" applyFont="1" applyFill="1" applyBorder="1" applyAlignment="1">
      <alignment horizontal="center" vertical="center"/>
    </xf>
    <xf numFmtId="0" fontId="118" fillId="3" borderId="20" xfId="0" applyFont="1" applyFill="1" applyBorder="1" applyAlignment="1">
      <alignment horizontal="center" vertical="center"/>
    </xf>
    <xf numFmtId="0" fontId="118" fillId="3" borderId="10" xfId="0" applyFont="1" applyFill="1" applyBorder="1" applyAlignment="1">
      <alignment horizontal="center" vertical="center"/>
    </xf>
    <xf numFmtId="0" fontId="118" fillId="3" borderId="11" xfId="0" applyFont="1" applyFill="1" applyBorder="1" applyAlignment="1">
      <alignment horizontal="center" vertical="center"/>
    </xf>
    <xf numFmtId="0" fontId="118" fillId="3" borderId="30" xfId="0" applyFont="1" applyFill="1" applyBorder="1" applyAlignment="1">
      <alignment horizontal="center" vertical="center"/>
    </xf>
    <xf numFmtId="0" fontId="118" fillId="3" borderId="12" xfId="0" applyFont="1" applyFill="1" applyBorder="1" applyAlignment="1">
      <alignment horizontal="center" vertical="center"/>
    </xf>
    <xf numFmtId="0" fontId="118" fillId="3" borderId="13" xfId="0" applyFont="1" applyFill="1" applyBorder="1" applyAlignment="1">
      <alignment horizontal="center" vertical="center"/>
    </xf>
    <xf numFmtId="0" fontId="118" fillId="3" borderId="18" xfId="0" applyFont="1" applyFill="1" applyBorder="1" applyAlignment="1">
      <alignment horizontal="center" vertical="center"/>
    </xf>
    <xf numFmtId="0" fontId="118" fillId="3" borderId="19" xfId="0" applyFont="1" applyFill="1" applyBorder="1" applyAlignment="1">
      <alignment horizontal="center" vertical="center"/>
    </xf>
    <xf numFmtId="0" fontId="108" fillId="0" borderId="45" xfId="0" applyFont="1" applyBorder="1" applyAlignment="1">
      <alignment horizontal="left" vertical="center"/>
    </xf>
    <xf numFmtId="0" fontId="108" fillId="0" borderId="20" xfId="0" applyFont="1" applyBorder="1" applyAlignment="1">
      <alignment horizontal="left" vertical="center"/>
    </xf>
    <xf numFmtId="0" fontId="108" fillId="0" borderId="30" xfId="0" applyFont="1" applyBorder="1" applyAlignment="1">
      <alignment horizontal="left" vertical="center"/>
    </xf>
    <xf numFmtId="0" fontId="108" fillId="0" borderId="45" xfId="0" applyFont="1" applyFill="1" applyBorder="1" applyAlignment="1">
      <alignment horizontal="left" vertical="center"/>
    </xf>
    <xf numFmtId="0" fontId="108" fillId="0" borderId="20" xfId="0" applyFont="1" applyFill="1" applyBorder="1" applyAlignment="1">
      <alignment horizontal="left" vertical="center"/>
    </xf>
    <xf numFmtId="0" fontId="108" fillId="0" borderId="30" xfId="0" applyFont="1" applyFill="1" applyBorder="1" applyAlignment="1">
      <alignment horizontal="left" vertical="center"/>
    </xf>
    <xf numFmtId="0" fontId="13" fillId="0" borderId="53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17" fillId="4" borderId="46" xfId="0" applyFont="1" applyFill="1" applyBorder="1" applyAlignment="1">
      <alignment horizontal="center" vertical="center"/>
    </xf>
    <xf numFmtId="0" fontId="117" fillId="4" borderId="47" xfId="0" applyFont="1" applyFill="1" applyBorder="1" applyAlignment="1">
      <alignment horizontal="center" vertical="center"/>
    </xf>
    <xf numFmtId="0" fontId="117" fillId="4" borderId="19" xfId="0" applyFont="1" applyFill="1" applyBorder="1" applyAlignment="1">
      <alignment horizontal="center" vertical="center"/>
    </xf>
    <xf numFmtId="0" fontId="117" fillId="4" borderId="31" xfId="0" applyFont="1" applyFill="1" applyBorder="1" applyAlignment="1">
      <alignment horizontal="center" vertical="center"/>
    </xf>
    <xf numFmtId="0" fontId="130" fillId="0" borderId="10" xfId="0" applyFont="1" applyBorder="1" applyAlignment="1">
      <alignment horizontal="center" vertical="center"/>
    </xf>
    <xf numFmtId="0" fontId="130" fillId="0" borderId="11" xfId="0" applyFont="1" applyBorder="1" applyAlignment="1">
      <alignment horizontal="center" vertical="center"/>
    </xf>
    <xf numFmtId="0" fontId="130" fillId="2" borderId="19" xfId="0" applyFont="1" applyFill="1" applyBorder="1" applyAlignment="1">
      <alignment horizontal="center" vertical="center" wrapText="1"/>
    </xf>
    <xf numFmtId="0" fontId="130" fillId="2" borderId="18" xfId="0" applyFont="1" applyFill="1" applyBorder="1" applyAlignment="1">
      <alignment horizontal="center" vertical="center" wrapText="1"/>
    </xf>
    <xf numFmtId="0" fontId="130" fillId="7" borderId="10" xfId="0" applyFont="1" applyFill="1" applyBorder="1" applyAlignment="1">
      <alignment horizontal="center" wrapText="1"/>
    </xf>
    <xf numFmtId="0" fontId="130" fillId="5" borderId="10" xfId="0" applyFont="1" applyFill="1" applyBorder="1" applyAlignment="1">
      <alignment horizontal="center" wrapText="1"/>
    </xf>
    <xf numFmtId="0" fontId="130" fillId="0" borderId="20" xfId="0" applyFont="1" applyBorder="1" applyAlignment="1">
      <alignment vertical="center"/>
    </xf>
    <xf numFmtId="0" fontId="130" fillId="0" borderId="75" xfId="0" applyFont="1" applyBorder="1" applyAlignment="1">
      <alignment vertical="center"/>
    </xf>
    <xf numFmtId="0" fontId="130" fillId="0" borderId="21" xfId="0" applyFont="1" applyBorder="1" applyAlignment="1">
      <alignment horizontal="center" vertical="center"/>
    </xf>
    <xf numFmtId="0" fontId="130" fillId="0" borderId="42" xfId="0" applyFont="1" applyBorder="1" applyAlignment="1">
      <alignment horizontal="center" vertical="center"/>
    </xf>
    <xf numFmtId="0" fontId="130" fillId="0" borderId="16" xfId="0" applyFont="1" applyBorder="1" applyAlignment="1">
      <alignment horizontal="center" vertical="center"/>
    </xf>
    <xf numFmtId="0" fontId="130" fillId="6" borderId="10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7" fillId="0" borderId="131" xfId="0" applyFont="1" applyBorder="1" applyAlignment="1">
      <alignment horizontal="center"/>
    </xf>
    <xf numFmtId="0" fontId="7" fillId="0" borderId="132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21" fillId="0" borderId="41" xfId="0" applyFont="1" applyBorder="1" applyAlignment="1">
      <alignment horizontal="center" vertical="center" wrapText="1"/>
    </xf>
    <xf numFmtId="0" fontId="21" fillId="0" borderId="142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/>
    </xf>
    <xf numFmtId="0" fontId="5" fillId="0" borderId="117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21" fillId="0" borderId="20" xfId="0" applyFont="1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 wrapText="1"/>
    </xf>
    <xf numFmtId="0" fontId="108" fillId="0" borderId="127" xfId="0" applyFont="1" applyBorder="1" applyAlignment="1">
      <alignment horizontal="center" vertical="center" wrapText="1"/>
    </xf>
    <xf numFmtId="0" fontId="116" fillId="0" borderId="0" xfId="0" applyFont="1" applyAlignment="1">
      <alignment horizontal="center"/>
    </xf>
    <xf numFmtId="0" fontId="109" fillId="0" borderId="36" xfId="0" applyFont="1" applyBorder="1" applyAlignment="1">
      <alignment horizontal="center"/>
    </xf>
    <xf numFmtId="0" fontId="109" fillId="0" borderId="37" xfId="0" applyFont="1" applyBorder="1" applyAlignment="1">
      <alignment horizontal="center"/>
    </xf>
    <xf numFmtId="0" fontId="106" fillId="33" borderId="47" xfId="0" applyFont="1" applyFill="1" applyBorder="1" applyAlignment="1">
      <alignment horizontal="right"/>
    </xf>
    <xf numFmtId="0" fontId="106" fillId="33" borderId="117" xfId="0" applyFont="1" applyFill="1" applyBorder="1" applyAlignment="1">
      <alignment horizontal="right"/>
    </xf>
    <xf numFmtId="0" fontId="106" fillId="33" borderId="53" xfId="0" applyFont="1" applyFill="1" applyBorder="1" applyAlignment="1">
      <alignment horizontal="right"/>
    </xf>
    <xf numFmtId="0" fontId="106" fillId="33" borderId="19" xfId="0" applyFont="1" applyFill="1" applyBorder="1" applyAlignment="1">
      <alignment horizontal="right"/>
    </xf>
    <xf numFmtId="0" fontId="106" fillId="33" borderId="66" xfId="0" applyFont="1" applyFill="1" applyBorder="1" applyAlignment="1">
      <alignment horizontal="right"/>
    </xf>
    <xf numFmtId="0" fontId="106" fillId="33" borderId="18" xfId="0" applyFont="1" applyFill="1" applyBorder="1" applyAlignment="1">
      <alignment horizontal="right"/>
    </xf>
    <xf numFmtId="0" fontId="134" fillId="0" borderId="143" xfId="0" applyFont="1" applyBorder="1" applyAlignment="1">
      <alignment horizontal="center" vertical="center" wrapText="1"/>
    </xf>
    <xf numFmtId="0" fontId="134" fillId="0" borderId="144" xfId="0" applyFont="1" applyBorder="1" applyAlignment="1">
      <alignment horizontal="center" vertical="center" wrapText="1"/>
    </xf>
    <xf numFmtId="0" fontId="134" fillId="0" borderId="33" xfId="0" applyFont="1" applyBorder="1" applyAlignment="1">
      <alignment horizontal="center" vertical="center" wrapText="1"/>
    </xf>
    <xf numFmtId="0" fontId="134" fillId="0" borderId="51" xfId="0" applyFont="1" applyBorder="1" applyAlignment="1">
      <alignment horizontal="center" vertical="center" wrapText="1"/>
    </xf>
    <xf numFmtId="0" fontId="134" fillId="0" borderId="35" xfId="0" applyFont="1" applyBorder="1" applyAlignment="1">
      <alignment horizontal="center" vertical="center" wrapText="1"/>
    </xf>
    <xf numFmtId="0" fontId="134" fillId="0" borderId="54" xfId="0" applyFont="1" applyBorder="1" applyAlignment="1">
      <alignment horizontal="center" vertical="center" wrapText="1"/>
    </xf>
    <xf numFmtId="0" fontId="106" fillId="33" borderId="31" xfId="0" applyFont="1" applyFill="1" applyBorder="1" applyAlignment="1">
      <alignment horizontal="right"/>
    </xf>
    <xf numFmtId="0" fontId="106" fillId="33" borderId="67" xfId="0" applyFont="1" applyFill="1" applyBorder="1" applyAlignment="1">
      <alignment horizontal="right"/>
    </xf>
    <xf numFmtId="0" fontId="106" fillId="33" borderId="60" xfId="0" applyFont="1" applyFill="1" applyBorder="1" applyAlignment="1">
      <alignment horizontal="right"/>
    </xf>
    <xf numFmtId="0" fontId="14" fillId="0" borderId="2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3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33" fillId="0" borderId="45" xfId="0" applyFont="1" applyBorder="1" applyAlignment="1">
      <alignment horizontal="center"/>
    </xf>
    <xf numFmtId="0" fontId="133" fillId="0" borderId="46" xfId="0" applyFont="1" applyBorder="1" applyAlignment="1">
      <alignment horizontal="center"/>
    </xf>
    <xf numFmtId="0" fontId="133" fillId="0" borderId="49" xfId="0" applyFont="1" applyBorder="1" applyAlignment="1">
      <alignment horizontal="center"/>
    </xf>
    <xf numFmtId="14" fontId="14" fillId="48" borderId="20" xfId="0" applyNumberFormat="1" applyFont="1" applyFill="1" applyBorder="1" applyAlignment="1">
      <alignment horizontal="center"/>
    </xf>
    <xf numFmtId="14" fontId="14" fillId="48" borderId="10" xfId="0" applyNumberFormat="1" applyFont="1" applyFill="1" applyBorder="1" applyAlignment="1">
      <alignment horizontal="center"/>
    </xf>
    <xf numFmtId="0" fontId="14" fillId="0" borderId="2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111" fillId="0" borderId="59" xfId="0" applyFont="1" applyFill="1" applyBorder="1" applyAlignment="1">
      <alignment horizontal="center" vertical="center"/>
    </xf>
    <xf numFmtId="0" fontId="111" fillId="0" borderId="42" xfId="0" applyFont="1" applyFill="1" applyBorder="1" applyAlignment="1">
      <alignment horizontal="center" vertical="center"/>
    </xf>
    <xf numFmtId="0" fontId="111" fillId="0" borderId="48" xfId="0" applyFont="1" applyFill="1" applyBorder="1" applyAlignment="1">
      <alignment horizontal="center" vertical="center"/>
    </xf>
    <xf numFmtId="0" fontId="111" fillId="0" borderId="59" xfId="0" applyFont="1" applyBorder="1" applyAlignment="1">
      <alignment horizontal="center" vertical="center" wrapText="1"/>
    </xf>
    <xf numFmtId="0" fontId="111" fillId="0" borderId="42" xfId="0" applyFont="1" applyBorder="1" applyAlignment="1">
      <alignment horizontal="center" vertical="center" wrapText="1"/>
    </xf>
    <xf numFmtId="0" fontId="111" fillId="0" borderId="16" xfId="0" applyFont="1" applyBorder="1" applyAlignment="1">
      <alignment horizontal="center" vertical="center" wrapText="1"/>
    </xf>
    <xf numFmtId="0" fontId="111" fillId="0" borderId="21" xfId="0" applyFont="1" applyBorder="1" applyAlignment="1">
      <alignment horizontal="center" vertical="center" wrapText="1"/>
    </xf>
    <xf numFmtId="0" fontId="111" fillId="0" borderId="48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111" fillId="0" borderId="71" xfId="0" applyFont="1" applyBorder="1" applyAlignment="1">
      <alignment horizontal="center" vertical="center"/>
    </xf>
    <xf numFmtId="0" fontId="111" fillId="0" borderId="131" xfId="0" applyFont="1" applyBorder="1" applyAlignment="1">
      <alignment horizontal="center" vertical="center"/>
    </xf>
    <xf numFmtId="0" fontId="112" fillId="0" borderId="0" xfId="0" applyFont="1" applyAlignment="1">
      <alignment horizontal="left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2 40" xfId="48"/>
    <cellStyle name="Comma 2 3" xfId="49"/>
    <cellStyle name="Comma 2 4" xfId="50"/>
    <cellStyle name="Comma 2 5" xfId="51"/>
    <cellStyle name="Comma 3" xfId="52"/>
    <cellStyle name="Comma 3 2" xfId="53"/>
    <cellStyle name="Comma 4" xfId="54"/>
    <cellStyle name="Comma 4 2" xfId="55"/>
    <cellStyle name="Comma 4 3" xfId="56"/>
    <cellStyle name="Comma 4 3 2" xfId="57"/>
    <cellStyle name="Comma 4 3 3" xfId="58"/>
    <cellStyle name="Comma 4 3 3 2" xfId="59"/>
    <cellStyle name="Comma 4 3 3 3" xfId="60"/>
    <cellStyle name="Comma 4 4" xfId="61"/>
    <cellStyle name="Comma 5" xfId="62"/>
    <cellStyle name="Comma 6" xfId="63"/>
    <cellStyle name="Comma 6 2" xfId="64"/>
    <cellStyle name="Comma 6 2 2" xfId="65"/>
    <cellStyle name="Currency" xfId="66"/>
    <cellStyle name="Currency [0]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Input" xfId="74"/>
    <cellStyle name="Linked Cell" xfId="75"/>
    <cellStyle name="Neutral" xfId="76"/>
    <cellStyle name="Normal 13" xfId="77"/>
    <cellStyle name="Normal 2" xfId="78"/>
    <cellStyle name="Normal 2 2" xfId="79"/>
    <cellStyle name="Normal 2 3" xfId="80"/>
    <cellStyle name="Normal 2 4" xfId="81"/>
    <cellStyle name="Normal 2 5" xfId="82"/>
    <cellStyle name="Normal 3" xfId="83"/>
    <cellStyle name="Normal 3 2" xfId="84"/>
    <cellStyle name="Normal 3 2 2" xfId="85"/>
    <cellStyle name="Normal_Sheet1" xfId="86"/>
    <cellStyle name="Note" xfId="87"/>
    <cellStyle name="Output" xfId="88"/>
    <cellStyle name="Percent" xfId="89"/>
    <cellStyle name="Percent 2" xfId="90"/>
    <cellStyle name="Percent 2 2" xfId="91"/>
    <cellStyle name="Percent 3" xfId="92"/>
    <cellStyle name="Percent 4" xfId="93"/>
    <cellStyle name="Title" xfId="94"/>
    <cellStyle name="Total" xfId="95"/>
    <cellStyle name="Warning Text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FIERZA LEVEL DURING 201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7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COMPARED WITH (Min,Max and historical Average) (m)
</a:t>
            </a:r>
          </a:p>
        </c:rich>
      </c:tx>
      <c:layout>
        <c:manualLayout>
          <c:xMode val="factor"/>
          <c:yMode val="factor"/>
          <c:x val="-0.002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07725"/>
          <c:w val="0.96"/>
          <c:h val="0.8455"/>
        </c:manualLayout>
      </c:layout>
      <c:lineChart>
        <c:grouping val="standard"/>
        <c:varyColors val="0"/>
        <c:ser>
          <c:idx val="0"/>
          <c:order val="0"/>
          <c:tx>
            <c:strRef>
              <c:f>'Fierza Level '!$A$31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'Fierza Level '!$B$30:$M$30</c:f>
              <c:strCache/>
            </c:strRef>
          </c:cat>
          <c:val>
            <c:numRef>
              <c:f>'Fierza Level '!$B$31:$M$31</c:f>
              <c:numCache/>
            </c:numRef>
          </c:val>
          <c:smooth val="0"/>
        </c:ser>
        <c:ser>
          <c:idx val="1"/>
          <c:order val="1"/>
          <c:tx>
            <c:strRef>
              <c:f>'Fierza Level '!$A$32</c:f>
              <c:strCache>
                <c:ptCount val="1"/>
                <c:pt idx="0">
                  <c:v>Avarage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E46C0A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'Fierza Level '!$B$30:$M$30</c:f>
              <c:strCache/>
            </c:strRef>
          </c:cat>
          <c:val>
            <c:numRef>
              <c:f>'Fierza Level '!$B$32:$M$32</c:f>
              <c:numCache/>
            </c:numRef>
          </c:val>
          <c:smooth val="0"/>
        </c:ser>
        <c:ser>
          <c:idx val="2"/>
          <c:order val="2"/>
          <c:tx>
            <c:strRef>
              <c:f>'Fierza Level '!$A$33</c:f>
              <c:strCache>
                <c:ptCount val="1"/>
                <c:pt idx="0">
                  <c:v>Minimum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D7E4BD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D7E4BD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D7E4BD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'Fierza Level '!$B$30:$M$30</c:f>
              <c:strCache/>
            </c:strRef>
          </c:cat>
          <c:val>
            <c:numRef>
              <c:f>'Fierza Level '!$B$33:$M$33</c:f>
              <c:numCache/>
            </c:numRef>
          </c:val>
          <c:smooth val="0"/>
        </c:ser>
        <c:ser>
          <c:idx val="3"/>
          <c:order val="3"/>
          <c:tx>
            <c:strRef>
              <c:f>'Fierza Level '!$A$34</c:f>
              <c:strCache>
                <c:ptCount val="1"/>
                <c:pt idx="0">
                  <c:v>Maximum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CCC1DA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'Fierza Level '!$B$30:$M$30</c:f>
              <c:strCache/>
            </c:strRef>
          </c:cat>
          <c:val>
            <c:numRef>
              <c:f>'Fierza Level '!$B$34:$M$34</c:f>
              <c:numCache/>
            </c:numRef>
          </c:val>
          <c:smooth val="0"/>
        </c:ser>
        <c:marker val="1"/>
        <c:axId val="61796485"/>
        <c:axId val="19297454"/>
      </c:lineChart>
      <c:catAx>
        <c:axId val="6179648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97454"/>
        <c:crosses val="autoZero"/>
        <c:auto val="1"/>
        <c:lblOffset val="100"/>
        <c:tickLblSkip val="1"/>
        <c:noMultiLvlLbl val="0"/>
      </c:catAx>
      <c:valAx>
        <c:axId val="19297454"/>
        <c:scaling>
          <c:orientation val="minMax"/>
          <c:max val="300"/>
          <c:min val="2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796485"/>
        <c:crossesAt val="1"/>
        <c:crossBetween val="between"/>
        <c:dispUnits/>
        <c:majorUnit val="200"/>
        <c:minorUnit val="2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HUMBJET GJATE VITIT PER PERIUDHEN 2009-2017 (MWh)</a:t>
            </a:r>
          </a:p>
        </c:rich>
      </c:tx>
      <c:layout>
        <c:manualLayout>
          <c:xMode val="factor"/>
          <c:yMode val="factor"/>
          <c:x val="-0.00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063"/>
          <c:w val="0.98225"/>
          <c:h val="0.9015"/>
        </c:manualLayout>
      </c:layout>
      <c:lineChart>
        <c:grouping val="standard"/>
        <c:varyColors val="0"/>
        <c:ser>
          <c:idx val="0"/>
          <c:order val="0"/>
          <c:tx>
            <c:strRef>
              <c:f>'Losses Graph 2017'!$A$4</c:f>
              <c:strCache>
                <c:ptCount val="1"/>
                <c:pt idx="0">
                  <c:v>Technical Losses in HV Sub/St.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'Losses Graph 2017'!$B$2:$DE$3</c:f>
              <c:multiLvlStrCache/>
            </c:multiLvlStrRef>
          </c:cat>
          <c:val>
            <c:numRef>
              <c:f>'Losses Graph 2017'!$B$4:$DE$4</c:f>
              <c:numCache/>
            </c:numRef>
          </c:val>
          <c:smooth val="0"/>
        </c:ser>
        <c:ser>
          <c:idx val="1"/>
          <c:order val="1"/>
          <c:tx>
            <c:strRef>
              <c:f>'Losses Graph 2017'!$A$5</c:f>
              <c:strCache>
                <c:ptCount val="1"/>
                <c:pt idx="0">
                  <c:v>Technical Losses in DSO zones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'Losses Graph 2017'!$B$2:$DE$3</c:f>
              <c:multiLvlStrCache/>
            </c:multiLvlStrRef>
          </c:cat>
          <c:val>
            <c:numRef>
              <c:f>'Losses Graph 2017'!$B$5:$DE$5</c:f>
              <c:numCache/>
            </c:numRef>
          </c:val>
          <c:smooth val="0"/>
        </c:ser>
        <c:ser>
          <c:idx val="2"/>
          <c:order val="2"/>
          <c:tx>
            <c:strRef>
              <c:f>'Losses Graph 2017'!$A$6</c:f>
              <c:strCache>
                <c:ptCount val="1"/>
                <c:pt idx="0">
                  <c:v>Total Technical Losses</c:v>
                </c:pt>
              </c:strCache>
            </c:strRef>
          </c:tx>
          <c:spPr>
            <a:ln w="254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'Losses Graph 2017'!$B$2:$DE$3</c:f>
              <c:multiLvlStrCache/>
            </c:multiLvlStrRef>
          </c:cat>
          <c:val>
            <c:numRef>
              <c:f>'Losses Graph 2017'!$B$6:$DE$6</c:f>
              <c:numCache/>
            </c:numRef>
          </c:val>
          <c:smooth val="0"/>
        </c:ser>
        <c:ser>
          <c:idx val="3"/>
          <c:order val="3"/>
          <c:tx>
            <c:strRef>
              <c:f>'Losses Graph 2017'!$A$7</c:f>
              <c:strCache>
                <c:ptCount val="1"/>
                <c:pt idx="0">
                  <c:v>Total Non Technical Losses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'Losses Graph 2017'!$B$2:$DE$3</c:f>
              <c:multiLvlStrCache/>
            </c:multiLvlStrRef>
          </c:cat>
          <c:val>
            <c:numRef>
              <c:f>'Losses Graph 2017'!$B$7:$DE$7</c:f>
              <c:numCache/>
            </c:numRef>
          </c:val>
          <c:smooth val="0"/>
        </c:ser>
        <c:ser>
          <c:idx val="4"/>
          <c:order val="4"/>
          <c:tx>
            <c:strRef>
              <c:f>'Losses Graph 2017'!$A$8</c:f>
              <c:strCache>
                <c:ptCount val="1"/>
                <c:pt idx="0">
                  <c:v>TOTAL LOSSES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'Losses Graph 2017'!$B$2:$DE$3</c:f>
              <c:multiLvlStrCache/>
            </c:multiLvlStrRef>
          </c:cat>
          <c:val>
            <c:numRef>
              <c:f>'Losses Graph 2017'!$B$8:$DE$8</c:f>
              <c:numCache/>
            </c:numRef>
          </c:val>
          <c:smooth val="0"/>
        </c:ser>
        <c:ser>
          <c:idx val="5"/>
          <c:order val="5"/>
          <c:tx>
            <c:strRef>
              <c:f>'Losses Graph 2017'!$A$9</c:f>
              <c:strCache>
                <c:ptCount val="1"/>
                <c:pt idx="0">
                  <c:v>TOTAL ENERGY IN DSO GRID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'Losses Graph 2017'!$B$2:$DE$3</c:f>
              <c:multiLvlStrCache/>
            </c:multiLvlStrRef>
          </c:cat>
          <c:val>
            <c:numRef>
              <c:f>'Losses Graph 2017'!$B$9:$DE$9</c:f>
              <c:numCache/>
            </c:numRef>
          </c:val>
          <c:smooth val="0"/>
        </c:ser>
        <c:marker val="1"/>
        <c:axId val="39459359"/>
        <c:axId val="19589912"/>
      </c:lineChart>
      <c:catAx>
        <c:axId val="3945935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589912"/>
        <c:crosses val="autoZero"/>
        <c:auto val="1"/>
        <c:lblOffset val="100"/>
        <c:tickLblSkip val="1"/>
        <c:noMultiLvlLbl val="0"/>
      </c:catAx>
      <c:valAx>
        <c:axId val="195899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45935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695"/>
          <c:y val="0.04425"/>
          <c:w val="0.6595"/>
          <c:h val="0.0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/>
            </a:r>
          </a:p>
        </c:rich>
      </c:tx>
      <c:layout>
        <c:manualLayout>
          <c:xMode val="factor"/>
          <c:yMode val="factor"/>
          <c:x val="0.041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125"/>
          <c:w val="0.95975"/>
          <c:h val="0.89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'OSHEE''s Debtors'!$A$3</c:f>
              <c:strCache>
                <c:ptCount val="1"/>
                <c:pt idx="0">
                  <c:v>Budgetary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'OSHEE''s Debtors'!$B$2:$Q$2</c:f>
              <c:strCache/>
            </c:strRef>
          </c:cat>
          <c:val>
            <c:numRef>
              <c:f>'OSHEE''s Debtors'!$B$3:$Q$3</c:f>
              <c:numCache/>
            </c:numRef>
          </c:val>
        </c:ser>
        <c:ser>
          <c:idx val="1"/>
          <c:order val="1"/>
          <c:tx>
            <c:strRef>
              <c:f>'OSHEE''s Debtors'!$A$4</c:f>
              <c:strCache>
                <c:ptCount val="1"/>
                <c:pt idx="0">
                  <c:v>Household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'OSHEE''s Debtors'!$B$2:$Q$2</c:f>
              <c:strCache/>
            </c:strRef>
          </c:cat>
          <c:val>
            <c:numRef>
              <c:f>'OSHEE''s Debtors'!$B$4:$Q$4</c:f>
              <c:numCache/>
            </c:numRef>
          </c:val>
        </c:ser>
        <c:ser>
          <c:idx val="2"/>
          <c:order val="2"/>
          <c:tx>
            <c:strRef>
              <c:f>'OSHEE''s Debtors'!$A$5</c:f>
              <c:strCache>
                <c:ptCount val="1"/>
                <c:pt idx="0">
                  <c:v>Non-budgetary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'OSHEE''s Debtors'!$B$2:$Q$2</c:f>
              <c:strCache/>
            </c:strRef>
          </c:cat>
          <c:val>
            <c:numRef>
              <c:f>'OSHEE''s Debtors'!$B$5:$Q$5</c:f>
              <c:numCache/>
            </c:numRef>
          </c:val>
        </c:ser>
        <c:ser>
          <c:idx val="3"/>
          <c:order val="3"/>
          <c:tx>
            <c:strRef>
              <c:f>'OSHEE''s Debtors'!$A$6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'OSHEE''s Debtors'!$B$2:$Q$2</c:f>
              <c:strCache/>
            </c:strRef>
          </c:cat>
          <c:val>
            <c:numRef>
              <c:f>'OSHEE''s Debtors'!$B$6:$Q$6</c:f>
              <c:numCache/>
            </c:numRef>
          </c:val>
        </c:ser>
        <c:overlap val="100"/>
        <c:gapWidth val="10"/>
        <c:axId val="42091481"/>
        <c:axId val="43279010"/>
      </c:barChart>
      <c:lineChart>
        <c:grouping val="standard"/>
        <c:varyColors val="0"/>
        <c:ser>
          <c:idx val="4"/>
          <c:order val="4"/>
          <c:tx>
            <c:strRef>
              <c:f>'OSHEE''s Debtors'!$A$7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B7DEE8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'OSHEE''s Debtors'!$B$2:$Q$2</c:f>
              <c:strCache/>
            </c:strRef>
          </c:cat>
          <c:val>
            <c:numRef>
              <c:f>'OSHEE''s Debtors'!$B$7:$Q$7</c:f>
              <c:numCache/>
            </c:numRef>
          </c:val>
          <c:smooth val="0"/>
        </c:ser>
        <c:axId val="53966771"/>
        <c:axId val="15938892"/>
      </c:lineChart>
      <c:catAx>
        <c:axId val="4209148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279010"/>
        <c:crosses val="autoZero"/>
        <c:auto val="1"/>
        <c:lblOffset val="100"/>
        <c:tickLblSkip val="1"/>
        <c:noMultiLvlLbl val="0"/>
      </c:catAx>
      <c:valAx>
        <c:axId val="43279010"/>
        <c:scaling>
          <c:orientation val="minMax"/>
        </c:scaling>
        <c:axPos val="l"/>
        <c:delete val="1"/>
        <c:majorTickMark val="none"/>
        <c:minorTickMark val="none"/>
        <c:tickLblPos val="nextTo"/>
        <c:crossAx val="42091481"/>
        <c:crossesAt val="1"/>
        <c:crossBetween val="between"/>
        <c:dispUnits/>
      </c:valAx>
      <c:catAx>
        <c:axId val="53966771"/>
        <c:scaling>
          <c:orientation val="minMax"/>
        </c:scaling>
        <c:axPos val="b"/>
        <c:delete val="1"/>
        <c:majorTickMark val="out"/>
        <c:minorTickMark val="none"/>
        <c:tickLblPos val="nextTo"/>
        <c:crossAx val="15938892"/>
        <c:crosses val="autoZero"/>
        <c:auto val="1"/>
        <c:lblOffset val="100"/>
        <c:tickLblSkip val="1"/>
        <c:noMultiLvlLbl val="0"/>
      </c:catAx>
      <c:valAx>
        <c:axId val="15938892"/>
        <c:scaling>
          <c:orientation val="minMax"/>
        </c:scaling>
        <c:axPos val="l"/>
        <c:delete val="1"/>
        <c:majorTickMark val="out"/>
        <c:minorTickMark val="none"/>
        <c:tickLblPos val="nextTo"/>
        <c:crossAx val="5396677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1"/>
          <c:y val="0.9555"/>
          <c:w val="0.55375"/>
          <c:h val="0.0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Sales effectiveness in the Distribution System  (%)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2009-2017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9875"/>
          <c:w val="0.97625"/>
          <c:h val="0.921"/>
        </c:manualLayout>
      </c:layout>
      <c:lineChart>
        <c:grouping val="standard"/>
        <c:varyColors val="0"/>
        <c:ser>
          <c:idx val="0"/>
          <c:order val="0"/>
          <c:tx>
            <c:strRef>
              <c:f>'Effectiveness 2017'!$A$39</c:f>
              <c:strCache>
                <c:ptCount val="1"/>
                <c:pt idx="0">
                  <c:v>Collections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0000"/>
                        </a:solidFill>
                      </a:rPr>
                      <a:t>Arketimi
</a:t>
                    </a:r>
                    <a:r>
                      <a:rPr lang="en-US" cap="none" sz="800" b="1" i="0" u="none" baseline="0">
                        <a:solidFill>
                          <a:srgbClr val="FF0000"/>
                        </a:solidFill>
                      </a:rPr>
                      <a:t>[VALUE]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'Effectiveness 2017'!$B$38:$J$38</c:f>
              <c:strCache/>
            </c:strRef>
          </c:cat>
          <c:val>
            <c:numRef>
              <c:f>'Effectiveness 2017'!$B$39:$J$39</c:f>
              <c:numCache/>
            </c:numRef>
          </c:val>
          <c:smooth val="0"/>
        </c:ser>
        <c:ser>
          <c:idx val="1"/>
          <c:order val="1"/>
          <c:tx>
            <c:strRef>
              <c:f>'Effectiveness 2017'!$A$40</c:f>
              <c:strCache>
                <c:ptCount val="1"/>
                <c:pt idx="0">
                  <c:v>Losses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800080"/>
                        </a:solidFill>
                      </a:rPr>
                      <a:t>Humbja
</a:t>
                    </a:r>
                    <a:r>
                      <a:rPr lang="en-US" cap="none" sz="800" b="1" i="0" u="none" baseline="0">
                        <a:solidFill>
                          <a:srgbClr val="800080"/>
                        </a:solidFill>
                      </a:rPr>
                      <a:t>[VALUE]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'Effectiveness 2017'!$B$38:$J$38</c:f>
              <c:strCache/>
            </c:strRef>
          </c:cat>
          <c:val>
            <c:numRef>
              <c:f>'Effectiveness 2017'!$B$40:$J$40</c:f>
              <c:numCache/>
            </c:numRef>
          </c:val>
          <c:smooth val="0"/>
        </c:ser>
        <c:ser>
          <c:idx val="2"/>
          <c:order val="2"/>
          <c:tx>
            <c:strRef>
              <c:f>'Effectiveness 2017'!$A$41</c:f>
              <c:strCache>
                <c:ptCount val="1"/>
                <c:pt idx="0">
                  <c:v>Sales effectiveness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333333"/>
                        </a:solidFill>
                      </a:rPr>
                      <a:t>Efektiviteti
</a:t>
                    </a:r>
                    <a:r>
                      <a:rPr lang="en-US" cap="none" sz="800" b="1" i="0" u="none" baseline="0">
                        <a:solidFill>
                          <a:srgbClr val="333333"/>
                        </a:solidFill>
                      </a:rPr>
                      <a:t>[VALUE] %</a:t>
                    </a:r>
                  </a:p>
                </c:rich>
              </c:tx>
              <c:numFmt formatCode="General" sourceLinked="1"/>
              <c:spPr>
                <a:solidFill>
                  <a:srgbClr val="EEECE1"/>
                </a:solidFill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EEECE1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EEECE1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'Effectiveness 2017'!$B$38:$J$38</c:f>
              <c:strCache/>
            </c:strRef>
          </c:cat>
          <c:val>
            <c:numRef>
              <c:f>'Effectiveness 2017'!$B$41:$J$41</c:f>
              <c:numCache/>
            </c:numRef>
          </c:val>
          <c:smooth val="0"/>
        </c:ser>
        <c:marker val="1"/>
        <c:axId val="9232301"/>
        <c:axId val="15981846"/>
      </c:lineChart>
      <c:catAx>
        <c:axId val="923230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981846"/>
        <c:crosses val="autoZero"/>
        <c:auto val="1"/>
        <c:lblOffset val="100"/>
        <c:tickLblSkip val="1"/>
        <c:noMultiLvlLbl val="0"/>
      </c:catAx>
      <c:valAx>
        <c:axId val="15981846"/>
        <c:scaling>
          <c:orientation val="minMax"/>
        </c:scaling>
        <c:axPos val="l"/>
        <c:delete val="1"/>
        <c:majorTickMark val="none"/>
        <c:minorTickMark val="none"/>
        <c:tickLblPos val="nextTo"/>
        <c:crossAx val="923230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33"/>
                </a:solidFill>
              </a:defRPr>
            </a:pPr>
          </a:p>
        </c:txPr>
      </c:dTable>
      <c:spPr>
        <a:gradFill rotWithShape="1">
          <a:gsLst>
            <a:gs pos="0">
              <a:srgbClr val="F6F9FC"/>
            </a:gs>
            <a:gs pos="74001">
              <a:srgbClr val="B0C6E1"/>
            </a:gs>
            <a:gs pos="83000">
              <a:srgbClr val="B0C6E1"/>
            </a:gs>
            <a:gs pos="100000">
              <a:srgbClr val="CAD9EB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balanc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es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2017</a:t>
            </a:r>
          </a:p>
        </c:rich>
      </c:tx>
      <c:layout>
        <c:manualLayout>
          <c:xMode val="factor"/>
          <c:yMode val="factor"/>
          <c:x val="-0.0975"/>
          <c:y val="0.02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9"/>
          <c:y val="0.20975"/>
          <c:w val="0.857"/>
          <c:h val="0.68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'[3]MWh(2017)'!$C$24</c:f>
              <c:strCache>
                <c:ptCount val="1"/>
                <c:pt idx="0">
                  <c:v>DIS NEGATIVE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'[3]MWh(2017)'!$A$26:$A$37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 </c:v>
                </c:pt>
                <c:pt idx="7">
                  <c:v>Gusht </c:v>
                </c:pt>
                <c:pt idx="8">
                  <c:v>Shtator 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'[3]MWh(2017)'!$C$26:$C$37</c:f>
              <c:numCache>
                <c:ptCount val="12"/>
                <c:pt idx="0">
                  <c:v>13347.528</c:v>
                </c:pt>
                <c:pt idx="1">
                  <c:v>3841.0830000000005</c:v>
                </c:pt>
                <c:pt idx="2">
                  <c:v>1447.3559999999998</c:v>
                </c:pt>
                <c:pt idx="3">
                  <c:v>8092.882</c:v>
                </c:pt>
                <c:pt idx="4">
                  <c:v>9217.926000000001</c:v>
                </c:pt>
                <c:pt idx="5">
                  <c:v>10525.763</c:v>
                </c:pt>
                <c:pt idx="6">
                  <c:v>7246.718</c:v>
                </c:pt>
                <c:pt idx="7">
                  <c:v>35094.77599999999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'[3]MWh(2017)'!$D$24</c:f>
              <c:strCache>
                <c:ptCount val="1"/>
                <c:pt idx="0">
                  <c:v>DIS POZITIVE 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'[3]MWh(2017)'!$A$26:$A$37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 </c:v>
                </c:pt>
                <c:pt idx="7">
                  <c:v>Gusht </c:v>
                </c:pt>
                <c:pt idx="8">
                  <c:v>Shtator 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'[3]MWh(2017)'!$D$26:$D$37</c:f>
              <c:numCache>
                <c:ptCount val="12"/>
                <c:pt idx="0">
                  <c:v>20610.293</c:v>
                </c:pt>
                <c:pt idx="1">
                  <c:v>41426.224</c:v>
                </c:pt>
                <c:pt idx="2">
                  <c:v>54345.672</c:v>
                </c:pt>
                <c:pt idx="3">
                  <c:v>18851.253999999997</c:v>
                </c:pt>
                <c:pt idx="4">
                  <c:v>16888.692</c:v>
                </c:pt>
                <c:pt idx="5">
                  <c:v>12238.14</c:v>
                </c:pt>
                <c:pt idx="6">
                  <c:v>22009.974000000002</c:v>
                </c:pt>
                <c:pt idx="7">
                  <c:v>23199.944000000003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15"/>
        <c:axId val="9618887"/>
        <c:axId val="19461120"/>
      </c:barChart>
      <c:catAx>
        <c:axId val="961888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9461120"/>
        <c:crosses val="autoZero"/>
        <c:auto val="1"/>
        <c:lblOffset val="100"/>
        <c:tickLblSkip val="1"/>
        <c:noMultiLvlLbl val="0"/>
      </c:catAx>
      <c:valAx>
        <c:axId val="19461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2"/>
              <c:y val="0.0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961888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175"/>
          <c:y val="0.91525"/>
          <c:w val="0.7055"/>
          <c:h val="0.0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2</xdr:row>
      <xdr:rowOff>9525</xdr:rowOff>
    </xdr:from>
    <xdr:to>
      <xdr:col>12</xdr:col>
      <xdr:colOff>476250</xdr:colOff>
      <xdr:row>32</xdr:row>
      <xdr:rowOff>85725</xdr:rowOff>
    </xdr:to>
    <xdr:pic>
      <xdr:nvPicPr>
        <xdr:cNvPr id="1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90525"/>
          <a:ext cx="7572375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41</xdr:row>
      <xdr:rowOff>85725</xdr:rowOff>
    </xdr:from>
    <xdr:to>
      <xdr:col>13</xdr:col>
      <xdr:colOff>219075</xdr:colOff>
      <xdr:row>80</xdr:row>
      <xdr:rowOff>0</xdr:rowOff>
    </xdr:to>
    <xdr:graphicFrame>
      <xdr:nvGraphicFramePr>
        <xdr:cNvPr id="1" name="Chart 3"/>
        <xdr:cNvGraphicFramePr/>
      </xdr:nvGraphicFramePr>
      <xdr:xfrm>
        <a:off x="142875" y="6819900"/>
        <a:ext cx="8277225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9</xdr:row>
      <xdr:rowOff>47625</xdr:rowOff>
    </xdr:from>
    <xdr:to>
      <xdr:col>109</xdr:col>
      <xdr:colOff>180975</xdr:colOff>
      <xdr:row>87</xdr:row>
      <xdr:rowOff>38100</xdr:rowOff>
    </xdr:to>
    <xdr:graphicFrame>
      <xdr:nvGraphicFramePr>
        <xdr:cNvPr id="1" name="Chart 2"/>
        <xdr:cNvGraphicFramePr/>
      </xdr:nvGraphicFramePr>
      <xdr:xfrm>
        <a:off x="209550" y="5305425"/>
        <a:ext cx="24631650" cy="1482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7</xdr:row>
      <xdr:rowOff>47625</xdr:rowOff>
    </xdr:from>
    <xdr:to>
      <xdr:col>17</xdr:col>
      <xdr:colOff>180975</xdr:colOff>
      <xdr:row>43</xdr:row>
      <xdr:rowOff>76200</xdr:rowOff>
    </xdr:to>
    <xdr:graphicFrame>
      <xdr:nvGraphicFramePr>
        <xdr:cNvPr id="1" name="Chart 2"/>
        <xdr:cNvGraphicFramePr/>
      </xdr:nvGraphicFramePr>
      <xdr:xfrm>
        <a:off x="742950" y="1400175"/>
        <a:ext cx="939165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104775</xdr:rowOff>
    </xdr:from>
    <xdr:to>
      <xdr:col>14</xdr:col>
      <xdr:colOff>219075</xdr:colOff>
      <xdr:row>74</xdr:row>
      <xdr:rowOff>152400</xdr:rowOff>
    </xdr:to>
    <xdr:graphicFrame>
      <xdr:nvGraphicFramePr>
        <xdr:cNvPr id="1" name="Chart 2"/>
        <xdr:cNvGraphicFramePr/>
      </xdr:nvGraphicFramePr>
      <xdr:xfrm>
        <a:off x="9525" y="5257800"/>
        <a:ext cx="8239125" cy="701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19</xdr:row>
      <xdr:rowOff>133350</xdr:rowOff>
    </xdr:from>
    <xdr:to>
      <xdr:col>32</xdr:col>
      <xdr:colOff>95250</xdr:colOff>
      <xdr:row>58</xdr:row>
      <xdr:rowOff>180975</xdr:rowOff>
    </xdr:to>
    <xdr:graphicFrame>
      <xdr:nvGraphicFramePr>
        <xdr:cNvPr id="1" name="Chart 2"/>
        <xdr:cNvGraphicFramePr/>
      </xdr:nvGraphicFramePr>
      <xdr:xfrm>
        <a:off x="3238500" y="4972050"/>
        <a:ext cx="13887450" cy="742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37</xdr:row>
      <xdr:rowOff>104775</xdr:rowOff>
    </xdr:from>
    <xdr:to>
      <xdr:col>2</xdr:col>
      <xdr:colOff>428625</xdr:colOff>
      <xdr:row>54</xdr:row>
      <xdr:rowOff>9525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8867775"/>
          <a:ext cx="1905000" cy="2657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PUBLIKIM%202017\8-MUJORI%202017\ERE_Raport%20Mujor_GUSHT_17%20-%20v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iela.ballolli\AppData\Local\Microsoft\Windows\Temporary%20Internet%20Files\Content.Outlook\71A5CSQJ\ERE_Raport%20Mujor_QERSHOR_1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PUBLIKIM%202017\8-MUJORI%202017\Tabela%20e%20Disbalancave%20(ne%20lek%20dhe%20ne%20euro)%20per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mbledhese"/>
      <sheetName val="Faturime dhe Arketime 2017"/>
      <sheetName val="Struktura Shitjes_Gusht 2017"/>
      <sheetName val="Struktura Shitjes Progresive"/>
      <sheetName val="Bilanci i Energjise"/>
      <sheetName val="Shperndarja"/>
      <sheetName val="Humbjet sipas Agjensive"/>
      <sheetName val="Prodhimi Hec-eve"/>
    </sheetNames>
    <sheetDataSet>
      <sheetData sheetId="1">
        <row r="13">
          <cell r="R13">
            <v>6410680.965949999</v>
          </cell>
        </row>
        <row r="30">
          <cell r="R30">
            <v>6192710.510889999</v>
          </cell>
        </row>
        <row r="45">
          <cell r="O45">
            <v>6192710.510889999</v>
          </cell>
          <cell r="R45">
            <v>5323527.404269296</v>
          </cell>
        </row>
        <row r="59">
          <cell r="P59">
            <v>5625504.909850095</v>
          </cell>
          <cell r="R59">
            <v>5141318.41023</v>
          </cell>
        </row>
        <row r="73">
          <cell r="O73">
            <v>5141318.41023</v>
          </cell>
          <cell r="P73">
            <v>4857514.5782400025</v>
          </cell>
          <cell r="R73">
            <v>4857464.205450002</v>
          </cell>
        </row>
        <row r="87">
          <cell r="O87">
            <v>4857464.205450002</v>
          </cell>
          <cell r="P87">
            <v>5133216.830870504</v>
          </cell>
          <cell r="R87">
            <v>4667810.036059999</v>
          </cell>
        </row>
        <row r="115">
          <cell r="O115">
            <v>4675924.262030001</v>
          </cell>
          <cell r="P115">
            <v>4901743.862290004</v>
          </cell>
          <cell r="R115">
            <v>5435008.841619999</v>
          </cell>
        </row>
        <row r="129">
          <cell r="O129">
            <v>5435008.841619999</v>
          </cell>
          <cell r="P129">
            <v>5295260.864940098</v>
          </cell>
          <cell r="R129">
            <v>5635938.716029998</v>
          </cell>
        </row>
      </sheetData>
      <sheetData sheetId="4">
        <row r="11">
          <cell r="D11">
            <v>2621.89102</v>
          </cell>
          <cell r="E11">
            <v>2896.89192</v>
          </cell>
          <cell r="F11">
            <v>3302.61</v>
          </cell>
          <cell r="G11">
            <v>3120.17</v>
          </cell>
          <cell r="H11">
            <v>3036.6</v>
          </cell>
          <cell r="I11">
            <v>2829.84</v>
          </cell>
          <cell r="J11">
            <v>2397.11</v>
          </cell>
          <cell r="K11">
            <v>1936.76</v>
          </cell>
        </row>
        <row r="12">
          <cell r="D12">
            <v>22495.153635</v>
          </cell>
          <cell r="E12">
            <v>49049.668037</v>
          </cell>
          <cell r="F12">
            <v>73302.371794</v>
          </cell>
          <cell r="G12">
            <v>59926.63603</v>
          </cell>
          <cell r="H12">
            <v>51480.67484</v>
          </cell>
          <cell r="I12">
            <v>26088.428483</v>
          </cell>
          <cell r="J12">
            <v>9062.39120899998</v>
          </cell>
          <cell r="K12">
            <v>5296.06926299999</v>
          </cell>
        </row>
        <row r="20">
          <cell r="D20">
            <v>15076.895178032995</v>
          </cell>
          <cell r="E20">
            <v>12860.807681416052</v>
          </cell>
          <cell r="F20">
            <v>12525.22055643321</v>
          </cell>
          <cell r="G20">
            <v>11289.064370786993</v>
          </cell>
          <cell r="H20">
            <v>10268.081846699924</v>
          </cell>
          <cell r="I20">
            <v>10676.146595536846</v>
          </cell>
          <cell r="J20">
            <v>11793.85744866894</v>
          </cell>
          <cell r="K20">
            <v>10326.486521134919</v>
          </cell>
        </row>
        <row r="21">
          <cell r="D21">
            <v>0.021060457997720404</v>
          </cell>
          <cell r="E21">
            <v>0.022873011825575537</v>
          </cell>
          <cell r="F21">
            <v>0.02297304851367534</v>
          </cell>
          <cell r="G21">
            <v>0.02286479877477236</v>
          </cell>
          <cell r="H21">
            <v>0.021614500493761485</v>
          </cell>
          <cell r="I21">
            <v>0.021995166925300298</v>
          </cell>
          <cell r="J21">
            <v>0.02226073773455816</v>
          </cell>
          <cell r="K21">
            <v>0.019052932533168976</v>
          </cell>
          <cell r="P21">
            <v>0.02180023211194798</v>
          </cell>
        </row>
        <row r="25">
          <cell r="D25">
            <v>122373.2910665238</v>
          </cell>
          <cell r="E25">
            <v>95095.02662943117</v>
          </cell>
          <cell r="F25">
            <v>92155.80797156678</v>
          </cell>
          <cell r="G25">
            <v>83507.32463494492</v>
          </cell>
          <cell r="H25">
            <v>80942.52536281687</v>
          </cell>
          <cell r="I25">
            <v>82517.96978942386</v>
          </cell>
          <cell r="J25">
            <v>89928.7654556515</v>
          </cell>
          <cell r="K25">
            <v>93735.46869789899</v>
          </cell>
        </row>
        <row r="26">
          <cell r="D26">
            <v>0.1747348105121501</v>
          </cell>
          <cell r="E26">
            <v>0.17319828033493145</v>
          </cell>
          <cell r="F26">
            <v>0.1731036883968889</v>
          </cell>
          <cell r="G26">
            <v>0.1731898769842375</v>
          </cell>
          <cell r="H26">
            <v>0.1742344333385327</v>
          </cell>
          <cell r="I26">
            <v>0.17390784103088416</v>
          </cell>
          <cell r="J26">
            <v>0.1736852380417827</v>
          </cell>
          <cell r="K26">
            <v>0.17638824518428964</v>
          </cell>
          <cell r="P26">
            <v>0.17408889434492536</v>
          </cell>
        </row>
        <row r="27">
          <cell r="D27">
            <v>102342.6524628639</v>
          </cell>
          <cell r="E27">
            <v>47392.231419162825</v>
          </cell>
          <cell r="F27">
            <v>51553.23213002576</v>
          </cell>
          <cell r="G27">
            <v>32612.27624449604</v>
          </cell>
          <cell r="H27">
            <v>31737.62964742619</v>
          </cell>
          <cell r="I27">
            <v>43365.96092544333</v>
          </cell>
          <cell r="J27">
            <v>29075.101545420068</v>
          </cell>
          <cell r="K27">
            <v>22164.11474117104</v>
          </cell>
        </row>
        <row r="28">
          <cell r="D28">
            <v>0.14295934992702147</v>
          </cell>
          <cell r="E28">
            <v>0.084287324446762</v>
          </cell>
          <cell r="F28">
            <v>0.09455601180224722</v>
          </cell>
          <cell r="G28">
            <v>0.06605269572625422</v>
          </cell>
          <cell r="H28">
            <v>0.06680829213545711</v>
          </cell>
          <cell r="I28">
            <v>0.08934324204858043</v>
          </cell>
          <cell r="J28">
            <v>0.054878839508212804</v>
          </cell>
          <cell r="K28">
            <v>0.04089400416653393</v>
          </cell>
          <cell r="P28">
            <v>0.08282714898137168</v>
          </cell>
        </row>
      </sheetData>
      <sheetData sheetId="5">
        <row r="9">
          <cell r="D9">
            <v>186000</v>
          </cell>
          <cell r="E9">
            <v>168000</v>
          </cell>
          <cell r="F9">
            <v>96590</v>
          </cell>
          <cell r="G9">
            <v>0</v>
          </cell>
          <cell r="H9">
            <v>173269</v>
          </cell>
          <cell r="I9">
            <v>25200</v>
          </cell>
          <cell r="J9">
            <v>365400</v>
          </cell>
          <cell r="K9">
            <v>454087</v>
          </cell>
        </row>
        <row r="10">
          <cell r="D10">
            <v>460676.2537467</v>
          </cell>
          <cell r="E10">
            <v>274882.8381689961</v>
          </cell>
          <cell r="F10">
            <v>286273.42131520004</v>
          </cell>
          <cell r="G10">
            <v>351169.879018087</v>
          </cell>
          <cell r="H10">
            <v>183735.3681322</v>
          </cell>
          <cell r="I10">
            <v>386042.4284762368</v>
          </cell>
          <cell r="J10">
            <v>137912.584889969</v>
          </cell>
          <cell r="K10">
            <v>74041.138147075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mbledhese"/>
      <sheetName val="Faturime dhe Arketime 2017"/>
      <sheetName val="Struktura e Shitjes_Janar 2017 "/>
      <sheetName val="Struktura e Shitjes_Shkurt 2017"/>
      <sheetName val="Struktura e Shitjes_Mars 2017"/>
      <sheetName val="Struktura Shitjes_Prill 17"/>
      <sheetName val="Ere Maj 2017"/>
      <sheetName val="Ere qer 2017 "/>
      <sheetName val="Struktura Shitjes Progresive"/>
      <sheetName val="Bilanci i Energjise"/>
      <sheetName val="Shperndarja"/>
      <sheetName val="Humbjet sipas Agjensive"/>
      <sheetName val="Prodhimi Hec-eve"/>
    </sheetNames>
    <sheetDataSet>
      <sheetData sheetId="1">
        <row r="121">
          <cell r="O121">
            <v>4667810.036059999</v>
          </cell>
          <cell r="R121">
            <v>4675924.262030001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EK DHE EURO"/>
      <sheetName val="LEK DHE EURO (2012)"/>
      <sheetName val="LEK DHE EURO (2013)"/>
      <sheetName val="MWh(2013)"/>
      <sheetName val="LEK DHE EURO (2014)"/>
      <sheetName val="MWh(2014)"/>
      <sheetName val="LEK DHE EURO (2015)"/>
      <sheetName val="MWh(2015)"/>
      <sheetName val="LEK DHE EURO (2016)"/>
      <sheetName val="MWh(2016)"/>
      <sheetName val="LEK DHE EURO (2017)"/>
      <sheetName val="MWh(2017)"/>
    </sheetNames>
    <sheetDataSet>
      <sheetData sheetId="11">
        <row r="24">
          <cell r="C24" t="str">
            <v>DIS NEGATIVE </v>
          </cell>
          <cell r="D24" t="str">
            <v>DIS POZITIVE </v>
          </cell>
        </row>
        <row r="26">
          <cell r="A26" t="str">
            <v>Janar</v>
          </cell>
          <cell r="C26">
            <v>13347.528</v>
          </cell>
          <cell r="D26">
            <v>20610.293</v>
          </cell>
        </row>
        <row r="27">
          <cell r="A27" t="str">
            <v>Shkurt</v>
          </cell>
          <cell r="C27">
            <v>3841.0830000000005</v>
          </cell>
          <cell r="D27">
            <v>41426.224</v>
          </cell>
        </row>
        <row r="28">
          <cell r="A28" t="str">
            <v>Mars</v>
          </cell>
          <cell r="C28">
            <v>1447.3559999999998</v>
          </cell>
          <cell r="D28">
            <v>54345.672</v>
          </cell>
        </row>
        <row r="29">
          <cell r="A29" t="str">
            <v>Prill</v>
          </cell>
          <cell r="C29">
            <v>8092.882</v>
          </cell>
          <cell r="D29">
            <v>18851.253999999997</v>
          </cell>
        </row>
        <row r="30">
          <cell r="A30" t="str">
            <v>Maj</v>
          </cell>
          <cell r="C30">
            <v>9217.926000000001</v>
          </cell>
          <cell r="D30">
            <v>16888.692</v>
          </cell>
        </row>
        <row r="31">
          <cell r="A31" t="str">
            <v>Qershor</v>
          </cell>
          <cell r="C31">
            <v>10525.763</v>
          </cell>
          <cell r="D31">
            <v>12238.14</v>
          </cell>
        </row>
        <row r="32">
          <cell r="A32" t="str">
            <v>Korrik </v>
          </cell>
          <cell r="C32">
            <v>7246.718</v>
          </cell>
          <cell r="D32">
            <v>22009.974000000002</v>
          </cell>
        </row>
        <row r="33">
          <cell r="A33" t="str">
            <v>Gusht </v>
          </cell>
          <cell r="C33">
            <v>35094.77599999999</v>
          </cell>
          <cell r="D33">
            <v>23199.944000000003</v>
          </cell>
        </row>
        <row r="34">
          <cell r="A34" t="str">
            <v>Shtator </v>
          </cell>
          <cell r="C34">
            <v>0</v>
          </cell>
          <cell r="D34">
            <v>0</v>
          </cell>
        </row>
        <row r="35">
          <cell r="A35" t="str">
            <v>Tetor</v>
          </cell>
          <cell r="C35">
            <v>0</v>
          </cell>
          <cell r="D35">
            <v>0</v>
          </cell>
        </row>
        <row r="36">
          <cell r="A36" t="str">
            <v>Nentor</v>
          </cell>
          <cell r="C36">
            <v>0</v>
          </cell>
          <cell r="D36">
            <v>0</v>
          </cell>
        </row>
        <row r="37">
          <cell r="A37" t="str">
            <v>Dhjetor</v>
          </cell>
          <cell r="C37">
            <v>0</v>
          </cell>
          <cell r="D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115" zoomScaleNormal="115" zoomScalePageLayoutView="0" workbookViewId="0" topLeftCell="A1">
      <selection activeCell="A9" sqref="A9"/>
    </sheetView>
  </sheetViews>
  <sheetFormatPr defaultColWidth="9.140625" defaultRowHeight="15"/>
  <cols>
    <col min="1" max="1" width="47.7109375" style="203" bestFit="1" customWidth="1"/>
    <col min="2" max="2" width="7.8515625" style="203" bestFit="1" customWidth="1"/>
    <col min="3" max="3" width="8.140625" style="203" bestFit="1" customWidth="1"/>
    <col min="4" max="4" width="8.57421875" style="203" customWidth="1"/>
    <col min="5" max="5" width="8.57421875" style="203" bestFit="1" customWidth="1"/>
    <col min="6" max="6" width="9.8515625" style="203" bestFit="1" customWidth="1"/>
    <col min="7" max="7" width="5.00390625" style="203" customWidth="1"/>
    <col min="8" max="8" width="6.421875" style="203" bestFit="1" customWidth="1"/>
    <col min="9" max="9" width="5.57421875" style="203" bestFit="1" customWidth="1"/>
    <col min="10" max="10" width="7.00390625" style="203" customWidth="1"/>
    <col min="11" max="11" width="7.28125" style="203" customWidth="1"/>
    <col min="12" max="12" width="2.8515625" style="203" customWidth="1"/>
    <col min="13" max="13" width="18.140625" style="203" bestFit="1" customWidth="1"/>
    <col min="14" max="16384" width="9.140625" style="203" customWidth="1"/>
  </cols>
  <sheetData>
    <row r="1" spans="1:14" ht="30" customHeight="1" thickBot="1">
      <c r="A1" s="1106" t="s">
        <v>449</v>
      </c>
      <c r="B1" s="1107"/>
      <c r="C1" s="1107"/>
      <c r="D1" s="1107"/>
      <c r="E1" s="1107"/>
      <c r="F1" s="1107"/>
      <c r="G1" s="1107"/>
      <c r="H1" s="1107"/>
      <c r="I1" s="1107"/>
      <c r="J1" s="1107"/>
      <c r="K1" s="1107"/>
      <c r="L1" s="1107"/>
      <c r="M1" s="1108"/>
      <c r="N1" s="856"/>
    </row>
    <row r="2" spans="1:13" ht="45.75" thickBot="1">
      <c r="A2" s="802"/>
      <c r="B2" s="802" t="s">
        <v>462</v>
      </c>
      <c r="C2" s="1029" t="s">
        <v>469</v>
      </c>
      <c r="D2" s="1030" t="s">
        <v>470</v>
      </c>
      <c r="E2" s="1009" t="s">
        <v>471</v>
      </c>
      <c r="F2" s="1009" t="s">
        <v>472</v>
      </c>
      <c r="G2" s="1008" t="s">
        <v>200</v>
      </c>
      <c r="H2" s="1009" t="s">
        <v>473</v>
      </c>
      <c r="I2" s="1008" t="s">
        <v>474</v>
      </c>
      <c r="J2" s="1009" t="s">
        <v>475</v>
      </c>
      <c r="K2" s="1008" t="s">
        <v>476</v>
      </c>
      <c r="L2" s="1031"/>
      <c r="M2" s="1032" t="s">
        <v>477</v>
      </c>
    </row>
    <row r="3" spans="1:14" ht="13.5" thickBot="1">
      <c r="A3" s="810" t="s">
        <v>493</v>
      </c>
      <c r="B3" s="803">
        <v>2280087</v>
      </c>
      <c r="C3" s="1109">
        <v>1468546</v>
      </c>
      <c r="D3" s="804">
        <v>22141.87294</v>
      </c>
      <c r="E3" s="805">
        <v>296701</v>
      </c>
      <c r="F3" s="805">
        <v>279581</v>
      </c>
      <c r="G3" s="806"/>
      <c r="H3" s="807">
        <v>127632.85435186999</v>
      </c>
      <c r="I3" s="808">
        <v>86315.37620960001</v>
      </c>
      <c r="J3" s="807">
        <v>199399.67425498998</v>
      </c>
      <c r="K3" s="806">
        <v>52093.34282412001</v>
      </c>
      <c r="L3" s="271"/>
      <c r="M3" s="809">
        <f>B3+D3+E3+F3+G3+H3+I3+J3+K3</f>
        <v>3343952.12058058</v>
      </c>
      <c r="N3" s="206"/>
    </row>
    <row r="4" spans="1:13" ht="12.75">
      <c r="A4" s="810" t="s">
        <v>450</v>
      </c>
      <c r="B4" s="803">
        <v>3231</v>
      </c>
      <c r="C4" s="1110"/>
      <c r="D4" s="811"/>
      <c r="E4" s="812"/>
      <c r="F4" s="812"/>
      <c r="G4" s="91"/>
      <c r="H4" s="811"/>
      <c r="I4" s="91"/>
      <c r="J4" s="811"/>
      <c r="K4" s="91"/>
      <c r="L4" s="271"/>
      <c r="M4" s="813"/>
    </row>
    <row r="5" spans="1:14" ht="12" customHeight="1">
      <c r="A5" s="810" t="s">
        <v>451</v>
      </c>
      <c r="B5" s="814">
        <v>-107805</v>
      </c>
      <c r="C5" s="1110"/>
      <c r="D5" s="811"/>
      <c r="E5" s="811"/>
      <c r="F5" s="811"/>
      <c r="G5" s="811"/>
      <c r="H5" s="811"/>
      <c r="I5" s="811"/>
      <c r="J5" s="811"/>
      <c r="K5" s="811"/>
      <c r="L5" s="815"/>
      <c r="M5" s="799"/>
      <c r="N5" s="206"/>
    </row>
    <row r="6" spans="1:13" ht="12" customHeight="1">
      <c r="A6" s="810" t="s">
        <v>452</v>
      </c>
      <c r="B6" s="803">
        <v>-1287</v>
      </c>
      <c r="C6" s="1110"/>
      <c r="D6" s="811"/>
      <c r="E6" s="816"/>
      <c r="F6" s="816"/>
      <c r="G6" s="816"/>
      <c r="H6" s="816"/>
      <c r="I6" s="816"/>
      <c r="J6" s="816"/>
      <c r="K6" s="816"/>
      <c r="L6" s="815"/>
      <c r="M6" s="799"/>
    </row>
    <row r="7" spans="1:13" ht="12" customHeight="1">
      <c r="A7" s="817" t="s">
        <v>453</v>
      </c>
      <c r="B7" s="1005">
        <v>-7210</v>
      </c>
      <c r="C7" s="1110"/>
      <c r="D7" s="811"/>
      <c r="E7" s="816"/>
      <c r="F7" s="816"/>
      <c r="G7" s="816"/>
      <c r="H7" s="816"/>
      <c r="I7" s="816"/>
      <c r="J7" s="816"/>
      <c r="K7" s="816"/>
      <c r="L7" s="815"/>
      <c r="M7" s="799"/>
    </row>
    <row r="8" spans="1:13" ht="12" customHeight="1">
      <c r="A8" s="817" t="s">
        <v>454</v>
      </c>
      <c r="B8" s="1005">
        <v>-14842</v>
      </c>
      <c r="C8" s="1110"/>
      <c r="D8" s="811"/>
      <c r="E8" s="816"/>
      <c r="F8" s="816"/>
      <c r="G8" s="816"/>
      <c r="H8" s="816"/>
      <c r="I8" s="816"/>
      <c r="J8" s="816"/>
      <c r="K8" s="816"/>
      <c r="L8" s="815"/>
      <c r="M8" s="799"/>
    </row>
    <row r="9" spans="1:13" ht="12" customHeight="1" thickBot="1">
      <c r="A9" s="1007" t="s">
        <v>455</v>
      </c>
      <c r="B9" s="1006">
        <v>2560</v>
      </c>
      <c r="C9" s="1110"/>
      <c r="D9" s="811"/>
      <c r="E9" s="811"/>
      <c r="F9" s="811"/>
      <c r="G9" s="811"/>
      <c r="H9" s="811"/>
      <c r="I9" s="811"/>
      <c r="J9" s="811"/>
      <c r="K9" s="811"/>
      <c r="L9" s="271"/>
      <c r="M9" s="799"/>
    </row>
    <row r="10" spans="1:14" ht="13.5" thickBot="1">
      <c r="A10" s="802" t="s">
        <v>456</v>
      </c>
      <c r="B10" s="802">
        <f>SUM(B3:B9)</f>
        <v>2154734</v>
      </c>
      <c r="C10" s="818">
        <f aca="true" t="shared" si="0" ref="C10:H10">C3</f>
        <v>1468546</v>
      </c>
      <c r="D10" s="818">
        <f t="shared" si="0"/>
        <v>22141.87294</v>
      </c>
      <c r="E10" s="818">
        <f t="shared" si="0"/>
        <v>296701</v>
      </c>
      <c r="F10" s="818">
        <f t="shared" si="0"/>
        <v>279581</v>
      </c>
      <c r="G10" s="818">
        <f t="shared" si="0"/>
        <v>0</v>
      </c>
      <c r="H10" s="818">
        <f t="shared" si="0"/>
        <v>127632.85435186999</v>
      </c>
      <c r="I10" s="811"/>
      <c r="J10" s="811"/>
      <c r="K10" s="811"/>
      <c r="L10" s="271"/>
      <c r="M10" s="799"/>
      <c r="N10" s="206"/>
    </row>
    <row r="11" spans="1:13" ht="12" customHeight="1" thickBot="1">
      <c r="A11" s="819"/>
      <c r="B11" s="820"/>
      <c r="C11" s="821"/>
      <c r="D11" s="822"/>
      <c r="E11" s="822"/>
      <c r="F11" s="822"/>
      <c r="G11" s="822"/>
      <c r="H11" s="823"/>
      <c r="I11" s="824">
        <f>I3</f>
        <v>86315.37620960001</v>
      </c>
      <c r="J11" s="825">
        <f>J3</f>
        <v>199399.67425498998</v>
      </c>
      <c r="K11" s="826">
        <f>K3</f>
        <v>52093.34282412001</v>
      </c>
      <c r="L11" s="271"/>
      <c r="M11" s="799"/>
    </row>
    <row r="12" spans="1:14" ht="12" customHeight="1" thickBot="1">
      <c r="A12" s="819"/>
      <c r="B12" s="827"/>
      <c r="C12" s="828"/>
      <c r="D12" s="829"/>
      <c r="E12" s="829"/>
      <c r="F12" s="829"/>
      <c r="G12" s="829"/>
      <c r="H12" s="830"/>
      <c r="I12" s="811"/>
      <c r="J12" s="811"/>
      <c r="K12" s="91"/>
      <c r="L12" s="271"/>
      <c r="M12" s="799"/>
      <c r="N12" s="206"/>
    </row>
    <row r="13" spans="1:13" ht="13.5" thickBot="1">
      <c r="A13" s="819"/>
      <c r="B13" s="1111">
        <f>B10+C10+D10+E10+F10+G10+H10</f>
        <v>4349336.72729187</v>
      </c>
      <c r="C13" s="1112"/>
      <c r="D13" s="1112"/>
      <c r="E13" s="1112"/>
      <c r="F13" s="1112"/>
      <c r="G13" s="1112"/>
      <c r="H13" s="1113"/>
      <c r="I13" s="831"/>
      <c r="J13" s="811"/>
      <c r="K13" s="831"/>
      <c r="L13" s="271"/>
      <c r="M13" s="799"/>
    </row>
    <row r="14" spans="1:13" ht="12" customHeight="1" thickBot="1">
      <c r="A14" s="530"/>
      <c r="B14" s="811">
        <f>B15-B13</f>
        <v>0.272708130069077</v>
      </c>
      <c r="C14" s="831"/>
      <c r="D14" s="831"/>
      <c r="E14" s="831"/>
      <c r="F14" s="831"/>
      <c r="G14" s="831"/>
      <c r="H14" s="831"/>
      <c r="I14" s="831"/>
      <c r="J14" s="831"/>
      <c r="K14" s="831"/>
      <c r="L14" s="530"/>
      <c r="M14" s="799"/>
    </row>
    <row r="15" spans="1:13" ht="12" customHeight="1" thickBot="1">
      <c r="A15" s="530"/>
      <c r="B15" s="1114">
        <f>E17</f>
        <v>4349337</v>
      </c>
      <c r="C15" s="1115"/>
      <c r="D15" s="1115"/>
      <c r="E15" s="1115"/>
      <c r="F15" s="1115"/>
      <c r="G15" s="1115"/>
      <c r="H15" s="1116"/>
      <c r="I15" s="832"/>
      <c r="J15" s="811"/>
      <c r="K15" s="811"/>
      <c r="L15" s="833"/>
      <c r="M15" s="834"/>
    </row>
    <row r="16" spans="1:13" ht="12" customHeight="1" thickBot="1">
      <c r="A16" s="801"/>
      <c r="B16" s="801"/>
      <c r="C16" s="801"/>
      <c r="D16" s="801"/>
      <c r="E16" s="801"/>
      <c r="F16" s="801"/>
      <c r="G16" s="801"/>
      <c r="H16" s="801"/>
      <c r="I16" s="801"/>
      <c r="J16" s="801"/>
      <c r="K16" s="801"/>
      <c r="L16" s="271"/>
      <c r="M16" s="799"/>
    </row>
    <row r="17" spans="1:13" ht="12" customHeight="1">
      <c r="A17" s="1028" t="s">
        <v>457</v>
      </c>
      <c r="B17" s="800">
        <v>1752083</v>
      </c>
      <c r="C17" s="835"/>
      <c r="D17" s="1117">
        <f>B17+B18</f>
        <v>3154021</v>
      </c>
      <c r="E17" s="1119">
        <f>D17+D19</f>
        <v>4349337</v>
      </c>
      <c r="F17" s="801"/>
      <c r="G17" s="801"/>
      <c r="H17" s="801"/>
      <c r="I17" s="801"/>
      <c r="J17" s="271"/>
      <c r="K17" s="271"/>
      <c r="L17" s="271"/>
      <c r="M17" s="799"/>
    </row>
    <row r="18" spans="1:13" ht="12" customHeight="1">
      <c r="A18" s="1028" t="s">
        <v>458</v>
      </c>
      <c r="B18" s="800">
        <v>1401938</v>
      </c>
      <c r="C18" s="836"/>
      <c r="D18" s="1118"/>
      <c r="E18" s="1120"/>
      <c r="F18" s="837"/>
      <c r="G18" s="837"/>
      <c r="H18" s="837"/>
      <c r="I18" s="837"/>
      <c r="J18" s="271"/>
      <c r="K18" s="271"/>
      <c r="L18" s="271"/>
      <c r="M18" s="799"/>
    </row>
    <row r="19" spans="1:13" ht="12" customHeight="1">
      <c r="A19" s="1028" t="s">
        <v>461</v>
      </c>
      <c r="B19" s="259">
        <v>94817</v>
      </c>
      <c r="C19" s="838"/>
      <c r="D19" s="1117">
        <f>B19+B20+B21</f>
        <v>1195316</v>
      </c>
      <c r="E19" s="1120"/>
      <c r="F19" s="837"/>
      <c r="G19" s="837"/>
      <c r="H19" s="801"/>
      <c r="I19" s="837"/>
      <c r="J19" s="839"/>
      <c r="K19" s="839"/>
      <c r="L19" s="271"/>
      <c r="M19" s="834"/>
    </row>
    <row r="20" spans="1:13" ht="12" customHeight="1">
      <c r="A20" s="1028" t="s">
        <v>460</v>
      </c>
      <c r="B20" s="259">
        <v>740256</v>
      </c>
      <c r="C20" s="840"/>
      <c r="D20" s="1122"/>
      <c r="E20" s="1120"/>
      <c r="F20" s="837"/>
      <c r="G20" s="837"/>
      <c r="H20" s="801"/>
      <c r="I20" s="837"/>
      <c r="J20" s="271"/>
      <c r="K20" s="271"/>
      <c r="L20" s="271"/>
      <c r="M20" s="799"/>
    </row>
    <row r="21" spans="1:13" ht="15" customHeight="1" thickBot="1">
      <c r="A21" s="1028" t="s">
        <v>459</v>
      </c>
      <c r="B21" s="259">
        <v>360243</v>
      </c>
      <c r="C21" s="841"/>
      <c r="D21" s="1118"/>
      <c r="E21" s="1121"/>
      <c r="F21" s="837"/>
      <c r="G21" s="837"/>
      <c r="H21" s="837"/>
      <c r="I21" s="837"/>
      <c r="J21" s="839"/>
      <c r="K21" s="839"/>
      <c r="L21" s="271"/>
      <c r="M21" s="799"/>
    </row>
    <row r="22" spans="1:13" ht="13.5" thickBot="1">
      <c r="A22" s="205"/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799"/>
    </row>
    <row r="23" spans="1:13" ht="12.75">
      <c r="A23" s="1123" t="s">
        <v>463</v>
      </c>
      <c r="B23" s="1124"/>
      <c r="C23" s="1124"/>
      <c r="D23" s="1124"/>
      <c r="E23" s="842">
        <f>E17</f>
        <v>4349337</v>
      </c>
      <c r="F23" s="843"/>
      <c r="G23" s="843"/>
      <c r="H23" s="843"/>
      <c r="I23" s="843"/>
      <c r="J23" s="271"/>
      <c r="K23" s="271"/>
      <c r="L23" s="271"/>
      <c r="M23" s="1125" t="s">
        <v>468</v>
      </c>
    </row>
    <row r="24" spans="1:13" ht="12.75">
      <c r="A24" s="1127" t="s">
        <v>464</v>
      </c>
      <c r="B24" s="1128"/>
      <c r="C24" s="1128"/>
      <c r="D24" s="1128"/>
      <c r="E24" s="844">
        <v>503370</v>
      </c>
      <c r="F24" s="843"/>
      <c r="G24" s="843"/>
      <c r="H24" s="843"/>
      <c r="I24" s="843"/>
      <c r="J24" s="271"/>
      <c r="K24" s="271"/>
      <c r="L24" s="271"/>
      <c r="M24" s="1126"/>
    </row>
    <row r="25" spans="1:13" ht="11.25" customHeight="1">
      <c r="A25" s="1129" t="s">
        <v>465</v>
      </c>
      <c r="B25" s="1130"/>
      <c r="C25" s="1130"/>
      <c r="D25" s="1131"/>
      <c r="E25" s="845">
        <v>1287</v>
      </c>
      <c r="F25" s="843"/>
      <c r="G25" s="843"/>
      <c r="H25" s="843"/>
      <c r="I25" s="843"/>
      <c r="J25" s="271"/>
      <c r="K25" s="271"/>
      <c r="L25" s="271"/>
      <c r="M25" s="1126"/>
    </row>
    <row r="26" spans="1:13" ht="12.75">
      <c r="A26" s="1127" t="s">
        <v>466</v>
      </c>
      <c r="B26" s="1128"/>
      <c r="C26" s="1128"/>
      <c r="D26" s="1128"/>
      <c r="E26" s="844">
        <v>107805</v>
      </c>
      <c r="F26" s="843"/>
      <c r="G26" s="843"/>
      <c r="H26" s="843"/>
      <c r="I26" s="843"/>
      <c r="J26" s="271"/>
      <c r="K26" s="271"/>
      <c r="L26" s="271"/>
      <c r="M26" s="1126"/>
    </row>
    <row r="27" spans="1:15" ht="14.25" customHeight="1" thickBot="1">
      <c r="A27" s="1104" t="s">
        <v>467</v>
      </c>
      <c r="B27" s="1105"/>
      <c r="C27" s="1105"/>
      <c r="D27" s="1105"/>
      <c r="E27" s="846">
        <f>SUM(E23:E26)</f>
        <v>4961799</v>
      </c>
      <c r="F27" s="847"/>
      <c r="G27" s="847"/>
      <c r="H27" s="847"/>
      <c r="I27" s="847"/>
      <c r="J27" s="848"/>
      <c r="K27" s="848"/>
      <c r="L27" s="848"/>
      <c r="M27" s="849">
        <f>E27</f>
        <v>4961799</v>
      </c>
      <c r="O27" s="206"/>
    </row>
    <row r="28" ht="14.25" customHeight="1"/>
    <row r="29" spans="10:13" ht="12.75">
      <c r="J29" s="1102" t="s">
        <v>440</v>
      </c>
      <c r="K29" s="1103"/>
      <c r="L29" s="1103"/>
      <c r="M29" s="1103"/>
    </row>
    <row r="30" spans="2:5" ht="12.75">
      <c r="B30" s="206"/>
      <c r="C30" s="206"/>
      <c r="E30" s="206"/>
    </row>
    <row r="32" ht="12.75">
      <c r="B32" s="206"/>
    </row>
    <row r="33" ht="12.75">
      <c r="B33" s="206"/>
    </row>
    <row r="37" ht="12.75">
      <c r="M37" s="203" t="s">
        <v>191</v>
      </c>
    </row>
    <row r="39" ht="12.75">
      <c r="B39" s="206"/>
    </row>
  </sheetData>
  <sheetProtection/>
  <mergeCells count="14">
    <mergeCell ref="J29:M29"/>
    <mergeCell ref="A27:D27"/>
    <mergeCell ref="A1:M1"/>
    <mergeCell ref="C3:C9"/>
    <mergeCell ref="B13:H13"/>
    <mergeCell ref="B15:H15"/>
    <mergeCell ref="D17:D18"/>
    <mergeCell ref="E17:E21"/>
    <mergeCell ref="D19:D21"/>
    <mergeCell ref="A23:D23"/>
    <mergeCell ref="M23:M26"/>
    <mergeCell ref="A24:D24"/>
    <mergeCell ref="A25:D25"/>
    <mergeCell ref="A26:D26"/>
  </mergeCells>
  <printOptions/>
  <pageMargins left="0.25" right="0.25" top="0.75" bottom="0.75" header="0.3" footer="0.3"/>
  <pageSetup orientation="landscape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3"/>
  <sheetViews>
    <sheetView view="pageBreakPreview" zoomScale="80" zoomScaleSheetLayoutView="80" zoomScalePageLayoutView="0" workbookViewId="0" topLeftCell="A1">
      <selection activeCell="N75" sqref="N75"/>
    </sheetView>
  </sheetViews>
  <sheetFormatPr defaultColWidth="9.140625" defaultRowHeight="15"/>
  <cols>
    <col min="1" max="1" width="9.140625" style="1" customWidth="1"/>
    <col min="2" max="2" width="14.421875" style="1" bestFit="1" customWidth="1"/>
    <col min="3" max="3" width="33.28125" style="1" bestFit="1" customWidth="1"/>
    <col min="4" max="4" width="17.7109375" style="1" bestFit="1" customWidth="1"/>
    <col min="5" max="5" width="25.421875" style="1" bestFit="1" customWidth="1"/>
    <col min="6" max="6" width="24.00390625" style="1" bestFit="1" customWidth="1"/>
    <col min="7" max="7" width="17.28125" style="1" bestFit="1" customWidth="1"/>
    <col min="8" max="8" width="26.8515625" style="1" bestFit="1" customWidth="1"/>
    <col min="9" max="9" width="29.421875" style="1" bestFit="1" customWidth="1"/>
    <col min="10" max="10" width="23.00390625" style="1" bestFit="1" customWidth="1"/>
    <col min="11" max="16384" width="9.140625" style="1" customWidth="1"/>
  </cols>
  <sheetData>
    <row r="1" spans="1:16" ht="30" customHeight="1" thickBot="1">
      <c r="A1" s="855"/>
      <c r="B1" s="1260" t="s">
        <v>739</v>
      </c>
      <c r="C1" s="1261"/>
      <c r="D1" s="1261"/>
      <c r="E1" s="1261"/>
      <c r="F1" s="1261"/>
      <c r="G1" s="1261"/>
      <c r="H1" s="1261"/>
      <c r="I1" s="1261"/>
      <c r="J1" s="1261"/>
      <c r="K1" s="855"/>
      <c r="L1" s="855"/>
      <c r="M1" s="855"/>
      <c r="N1" s="855"/>
      <c r="O1" s="855"/>
      <c r="P1" s="855"/>
    </row>
    <row r="2" spans="2:14" ht="41.25" customHeight="1">
      <c r="B2" s="1254" t="s">
        <v>740</v>
      </c>
      <c r="C2" s="1069" t="s">
        <v>741</v>
      </c>
      <c r="D2" s="1069" t="s">
        <v>742</v>
      </c>
      <c r="E2" s="1256" t="s">
        <v>743</v>
      </c>
      <c r="F2" s="1256" t="s">
        <v>744</v>
      </c>
      <c r="G2" s="1256" t="s">
        <v>745</v>
      </c>
      <c r="H2" s="1256" t="s">
        <v>746</v>
      </c>
      <c r="I2" s="1256" t="s">
        <v>747</v>
      </c>
      <c r="J2" s="1256" t="s">
        <v>748</v>
      </c>
      <c r="K2" s="851"/>
      <c r="L2" s="851"/>
      <c r="M2" s="851"/>
      <c r="N2" s="851"/>
    </row>
    <row r="3" spans="2:10" ht="21" customHeight="1" thickBot="1">
      <c r="B3" s="1255"/>
      <c r="C3" s="1070">
        <v>71374446.7264409</v>
      </c>
      <c r="D3" s="1071"/>
      <c r="E3" s="1257"/>
      <c r="F3" s="1257"/>
      <c r="G3" s="1257"/>
      <c r="H3" s="1257"/>
      <c r="I3" s="1257"/>
      <c r="J3" s="1257"/>
    </row>
    <row r="4" spans="2:10" ht="13.5" thickBot="1">
      <c r="B4" s="427" t="s">
        <v>0</v>
      </c>
      <c r="C4" s="428" t="e">
        <f>C3-#REF!</f>
        <v>#REF!</v>
      </c>
      <c r="D4" s="429">
        <v>2</v>
      </c>
      <c r="E4" s="429">
        <v>5</v>
      </c>
      <c r="F4" s="429">
        <v>7</v>
      </c>
      <c r="G4" s="429" t="s">
        <v>1</v>
      </c>
      <c r="H4" s="429" t="s">
        <v>2</v>
      </c>
      <c r="I4" s="429" t="s">
        <v>3</v>
      </c>
      <c r="J4" s="430" t="s">
        <v>4</v>
      </c>
    </row>
    <row r="5" spans="2:10" ht="13.5" thickBot="1">
      <c r="B5" s="431" t="s">
        <v>496</v>
      </c>
      <c r="C5" s="432">
        <f>C3+I5</f>
        <v>72385326.4275809</v>
      </c>
      <c r="D5" s="433">
        <v>4899949.283399993</v>
      </c>
      <c r="E5" s="434">
        <v>3593287.9111900013</v>
      </c>
      <c r="F5" s="434">
        <v>295781.6710699999</v>
      </c>
      <c r="G5" s="435">
        <v>3889070</v>
      </c>
      <c r="H5" s="436">
        <f aca="true" t="shared" si="0" ref="H5:H10">D5-E5</f>
        <v>1306661.3722099913</v>
      </c>
      <c r="I5" s="436">
        <f aca="true" t="shared" si="1" ref="I5:I16">D5-E5-F5-J5</f>
        <v>1010879.7011399914</v>
      </c>
      <c r="J5" s="437">
        <v>0</v>
      </c>
    </row>
    <row r="6" spans="2:10" ht="13.5" thickBot="1">
      <c r="B6" s="431" t="s">
        <v>497</v>
      </c>
      <c r="C6" s="438">
        <f>C5+I6</f>
        <v>73231147.81735778</v>
      </c>
      <c r="D6" s="439">
        <v>4623940.7858499875</v>
      </c>
      <c r="E6" s="439">
        <v>1224858.2124599963</v>
      </c>
      <c r="F6" s="440">
        <v>2553261.1836131075</v>
      </c>
      <c r="G6" s="436">
        <f aca="true" t="shared" si="2" ref="G6:G16">E6+F6</f>
        <v>3778119.396073104</v>
      </c>
      <c r="H6" s="436">
        <f t="shared" si="0"/>
        <v>3399082.573389991</v>
      </c>
      <c r="I6" s="436">
        <f t="shared" si="1"/>
        <v>845821.3897768836</v>
      </c>
      <c r="J6" s="437">
        <v>0</v>
      </c>
    </row>
    <row r="7" spans="2:10" ht="13.5" thickBot="1">
      <c r="B7" s="431" t="s">
        <v>498</v>
      </c>
      <c r="C7" s="438">
        <f>C6+I7</f>
        <v>73905561.61443262</v>
      </c>
      <c r="D7" s="439">
        <v>4645564.20399284</v>
      </c>
      <c r="E7" s="439">
        <v>3226835.580515001</v>
      </c>
      <c r="F7" s="439">
        <v>744314.8264030004</v>
      </c>
      <c r="G7" s="436">
        <f t="shared" si="2"/>
        <v>3971150.4069180014</v>
      </c>
      <c r="H7" s="436">
        <f t="shared" si="0"/>
        <v>1418728.623477839</v>
      </c>
      <c r="I7" s="436">
        <f t="shared" si="1"/>
        <v>674413.7970748385</v>
      </c>
      <c r="J7" s="437">
        <v>0</v>
      </c>
    </row>
    <row r="8" spans="2:10" ht="13.5" thickBot="1">
      <c r="B8" s="431" t="s">
        <v>499</v>
      </c>
      <c r="C8" s="438">
        <f aca="true" t="shared" si="3" ref="C8:C16">C7+I8</f>
        <v>70676445.61443262</v>
      </c>
      <c r="D8" s="441">
        <v>4538921</v>
      </c>
      <c r="E8" s="441">
        <v>3291530</v>
      </c>
      <c r="F8" s="441">
        <v>680634</v>
      </c>
      <c r="G8" s="436">
        <f t="shared" si="2"/>
        <v>3972164</v>
      </c>
      <c r="H8" s="436">
        <f t="shared" si="0"/>
        <v>1247391</v>
      </c>
      <c r="I8" s="436">
        <f t="shared" si="1"/>
        <v>-3229116</v>
      </c>
      <c r="J8" s="437">
        <v>3795873</v>
      </c>
    </row>
    <row r="9" spans="2:10" ht="13.5" thickBot="1">
      <c r="B9" s="431" t="s">
        <v>93</v>
      </c>
      <c r="C9" s="438">
        <f t="shared" si="3"/>
        <v>71544529.61443262</v>
      </c>
      <c r="D9" s="441">
        <v>4190118</v>
      </c>
      <c r="E9" s="441">
        <v>3345044</v>
      </c>
      <c r="F9" s="441">
        <v>374413</v>
      </c>
      <c r="G9" s="436">
        <f t="shared" si="2"/>
        <v>3719457</v>
      </c>
      <c r="H9" s="436">
        <f t="shared" si="0"/>
        <v>845074</v>
      </c>
      <c r="I9" s="436">
        <f t="shared" si="1"/>
        <v>868084</v>
      </c>
      <c r="J9" s="442">
        <v>-397423</v>
      </c>
    </row>
    <row r="10" spans="2:10" ht="13.5" thickBot="1">
      <c r="B10" s="431" t="s">
        <v>500</v>
      </c>
      <c r="C10" s="438">
        <f t="shared" si="3"/>
        <v>72209336.61443262</v>
      </c>
      <c r="D10" s="441">
        <v>4025464</v>
      </c>
      <c r="E10" s="441">
        <v>3065523</v>
      </c>
      <c r="F10" s="441">
        <v>295134</v>
      </c>
      <c r="G10" s="436">
        <f t="shared" si="2"/>
        <v>3360657</v>
      </c>
      <c r="H10" s="436">
        <f t="shared" si="0"/>
        <v>959941</v>
      </c>
      <c r="I10" s="436">
        <f t="shared" si="1"/>
        <v>664807</v>
      </c>
      <c r="J10" s="437"/>
    </row>
    <row r="11" spans="2:10" ht="13.5" thickBot="1">
      <c r="B11" s="431" t="s">
        <v>501</v>
      </c>
      <c r="C11" s="438">
        <f t="shared" si="3"/>
        <v>72816892.62516616</v>
      </c>
      <c r="D11" s="443">
        <v>4097546.5829663128</v>
      </c>
      <c r="E11" s="444">
        <v>3184902.351940602</v>
      </c>
      <c r="F11" s="443">
        <v>305088.22029216774</v>
      </c>
      <c r="G11" s="436">
        <f t="shared" si="2"/>
        <v>3489990.57223277</v>
      </c>
      <c r="H11" s="436">
        <f aca="true" t="shared" si="4" ref="H11:H16">D11-E11</f>
        <v>912644.2310257107</v>
      </c>
      <c r="I11" s="436">
        <f t="shared" si="1"/>
        <v>607556.010733543</v>
      </c>
      <c r="J11" s="437"/>
    </row>
    <row r="12" spans="2:10" ht="13.5" thickBot="1">
      <c r="B12" s="431" t="s">
        <v>502</v>
      </c>
      <c r="C12" s="438">
        <f t="shared" si="3"/>
        <v>73694774.11627497</v>
      </c>
      <c r="D12" s="439">
        <v>4299884.94734</v>
      </c>
      <c r="E12" s="439">
        <v>3115140.6067506</v>
      </c>
      <c r="F12" s="439">
        <v>311466.849480601</v>
      </c>
      <c r="G12" s="436">
        <f t="shared" si="2"/>
        <v>3426607.456231201</v>
      </c>
      <c r="H12" s="436">
        <f t="shared" si="4"/>
        <v>1184744.3405894004</v>
      </c>
      <c r="I12" s="436">
        <f t="shared" si="1"/>
        <v>877881.4911087994</v>
      </c>
      <c r="J12" s="90">
        <v>-4604</v>
      </c>
    </row>
    <row r="13" spans="2:10" ht="13.5" thickBot="1">
      <c r="B13" s="431" t="s">
        <v>567</v>
      </c>
      <c r="C13" s="438">
        <f t="shared" si="3"/>
        <v>72527144.56636497</v>
      </c>
      <c r="D13" s="439">
        <v>4065705.3119900078</v>
      </c>
      <c r="E13" s="439">
        <v>3343187.7485698983</v>
      </c>
      <c r="F13" s="439">
        <v>1069912.1133301007</v>
      </c>
      <c r="G13" s="436">
        <f t="shared" si="2"/>
        <v>4413099.861899999</v>
      </c>
      <c r="H13" s="436">
        <f t="shared" si="4"/>
        <v>722517.5634201095</v>
      </c>
      <c r="I13" s="436">
        <f t="shared" si="1"/>
        <v>-1167629.5499099912</v>
      </c>
      <c r="J13" s="437">
        <v>820235</v>
      </c>
    </row>
    <row r="14" spans="2:10" ht="13.5" thickBot="1">
      <c r="B14" s="431" t="s">
        <v>733</v>
      </c>
      <c r="C14" s="438">
        <f t="shared" si="3"/>
        <v>72630239.56636497</v>
      </c>
      <c r="D14" s="445">
        <v>4280796</v>
      </c>
      <c r="E14" s="441">
        <v>3647110</v>
      </c>
      <c r="F14" s="441">
        <v>457224</v>
      </c>
      <c r="G14" s="436">
        <f t="shared" si="2"/>
        <v>4104334</v>
      </c>
      <c r="H14" s="436">
        <f t="shared" si="4"/>
        <v>633686</v>
      </c>
      <c r="I14" s="436">
        <f t="shared" si="1"/>
        <v>103095</v>
      </c>
      <c r="J14" s="437">
        <v>73367</v>
      </c>
    </row>
    <row r="15" spans="2:10" ht="13.5" thickBot="1">
      <c r="B15" s="431" t="s">
        <v>734</v>
      </c>
      <c r="C15" s="438">
        <f t="shared" si="3"/>
        <v>72771143.56636497</v>
      </c>
      <c r="D15" s="446">
        <v>4504528</v>
      </c>
      <c r="E15" s="447">
        <v>3459192</v>
      </c>
      <c r="F15" s="446">
        <v>904432</v>
      </c>
      <c r="G15" s="436">
        <f t="shared" si="2"/>
        <v>4363624</v>
      </c>
      <c r="H15" s="436">
        <f t="shared" si="4"/>
        <v>1045336</v>
      </c>
      <c r="I15" s="436">
        <f t="shared" si="1"/>
        <v>140904</v>
      </c>
      <c r="J15" s="437"/>
    </row>
    <row r="16" spans="2:10" ht="12.75">
      <c r="B16" s="431" t="s">
        <v>735</v>
      </c>
      <c r="C16" s="438">
        <f t="shared" si="3"/>
        <v>71406046.56636497</v>
      </c>
      <c r="D16" s="436">
        <v>4985556</v>
      </c>
      <c r="E16" s="436">
        <v>4273473</v>
      </c>
      <c r="F16" s="436">
        <v>2077180</v>
      </c>
      <c r="G16" s="436">
        <f t="shared" si="2"/>
        <v>6350653</v>
      </c>
      <c r="H16" s="436">
        <f t="shared" si="4"/>
        <v>712083</v>
      </c>
      <c r="I16" s="436">
        <f t="shared" si="1"/>
        <v>-1365097</v>
      </c>
      <c r="J16" s="437"/>
    </row>
    <row r="17" spans="2:10" ht="13.5" thickBot="1">
      <c r="B17" s="448" t="s">
        <v>17</v>
      </c>
      <c r="C17" s="449"/>
      <c r="D17" s="450">
        <f>SUM(D5:D16)</f>
        <v>53157974.11553914</v>
      </c>
      <c r="E17" s="450">
        <f>SUM(E5:E16)</f>
        <v>38770084.4114261</v>
      </c>
      <c r="F17" s="450">
        <f>SUM(F5:F16)</f>
        <v>10068841.864188977</v>
      </c>
      <c r="G17" s="451">
        <f>SUM(G5:G16)</f>
        <v>48838926.693355076</v>
      </c>
      <c r="H17" s="451">
        <f>SUM(H5:H16)</f>
        <v>14387889.704113042</v>
      </c>
      <c r="I17" s="451"/>
      <c r="J17" s="452">
        <f>SUM(J5:J16)</f>
        <v>4287448</v>
      </c>
    </row>
    <row r="18" ht="13.5" thickBot="1">
      <c r="J18" s="262"/>
    </row>
    <row r="19" spans="2:10" ht="16.5" thickBot="1">
      <c r="B19" s="1262" t="s">
        <v>749</v>
      </c>
      <c r="C19" s="1263"/>
      <c r="D19" s="1263"/>
      <c r="E19" s="1263"/>
      <c r="F19" s="1263"/>
      <c r="G19" s="1263"/>
      <c r="H19" s="1263"/>
      <c r="I19" s="1263"/>
      <c r="J19" s="1264"/>
    </row>
    <row r="20" spans="2:10" ht="25.5" customHeight="1">
      <c r="B20" s="1254" t="s">
        <v>750</v>
      </c>
      <c r="C20" s="1069" t="s">
        <v>751</v>
      </c>
      <c r="D20" s="1069" t="s">
        <v>752</v>
      </c>
      <c r="E20" s="1256" t="s">
        <v>753</v>
      </c>
      <c r="F20" s="1256" t="s">
        <v>754</v>
      </c>
      <c r="G20" s="1256" t="s">
        <v>745</v>
      </c>
      <c r="H20" s="1256" t="s">
        <v>755</v>
      </c>
      <c r="I20" s="1256" t="s">
        <v>756</v>
      </c>
      <c r="J20" s="1258" t="s">
        <v>757</v>
      </c>
    </row>
    <row r="21" spans="2:10" ht="25.5" customHeight="1" thickBot="1">
      <c r="B21" s="1255"/>
      <c r="C21" s="1070"/>
      <c r="D21" s="1071"/>
      <c r="E21" s="1257"/>
      <c r="F21" s="1257"/>
      <c r="G21" s="1257"/>
      <c r="H21" s="1257"/>
      <c r="I21" s="1257"/>
      <c r="J21" s="1259"/>
    </row>
    <row r="22" spans="2:10" ht="13.5" thickBot="1">
      <c r="B22" s="427"/>
      <c r="C22" s="428">
        <v>71406046.56636499</v>
      </c>
      <c r="D22" s="429">
        <v>2</v>
      </c>
      <c r="E22" s="429">
        <v>5</v>
      </c>
      <c r="F22" s="429">
        <v>7</v>
      </c>
      <c r="G22" s="429" t="s">
        <v>1</v>
      </c>
      <c r="H22" s="429" t="s">
        <v>2</v>
      </c>
      <c r="I22" s="429" t="s">
        <v>3</v>
      </c>
      <c r="J22" s="430" t="s">
        <v>4</v>
      </c>
    </row>
    <row r="23" spans="2:10" ht="13.5" thickBot="1">
      <c r="B23" s="431" t="s">
        <v>496</v>
      </c>
      <c r="C23" s="432">
        <f aca="true" t="shared" si="5" ref="C23:C34">C22+I23</f>
        <v>71336668.66702488</v>
      </c>
      <c r="D23" s="433">
        <v>5549210.592729999</v>
      </c>
      <c r="E23" s="441">
        <v>58385.00092999999</v>
      </c>
      <c r="F23" s="434">
        <v>5560203.491140099</v>
      </c>
      <c r="G23" s="436">
        <f aca="true" t="shared" si="6" ref="G23:G34">E23+F23</f>
        <v>5618588.492070099</v>
      </c>
      <c r="H23" s="436">
        <f aca="true" t="shared" si="7" ref="H23:H34">D23-E23</f>
        <v>5490825.591799999</v>
      </c>
      <c r="I23" s="436">
        <f aca="true" t="shared" si="8" ref="I23:I34">D23-E23-F23-J23</f>
        <v>-69377.89934010059</v>
      </c>
      <c r="J23" s="437">
        <v>0</v>
      </c>
    </row>
    <row r="24" spans="2:10" ht="13.5" thickBot="1">
      <c r="B24" s="431" t="s">
        <v>497</v>
      </c>
      <c r="C24" s="438">
        <f t="shared" si="5"/>
        <v>70243443.93716477</v>
      </c>
      <c r="D24" s="439">
        <v>5593063.936949987</v>
      </c>
      <c r="E24" s="441">
        <v>4241483.669489999</v>
      </c>
      <c r="F24" s="440">
        <v>2444804.9973201016</v>
      </c>
      <c r="G24" s="436">
        <f t="shared" si="6"/>
        <v>6686288.666810101</v>
      </c>
      <c r="H24" s="436">
        <f t="shared" si="7"/>
        <v>1351580.2674599877</v>
      </c>
      <c r="I24" s="436">
        <f t="shared" si="8"/>
        <v>-1093224.729860114</v>
      </c>
      <c r="J24" s="437">
        <v>0</v>
      </c>
    </row>
    <row r="25" spans="2:13" ht="13.5" thickBot="1">
      <c r="B25" s="431" t="s">
        <v>498</v>
      </c>
      <c r="C25" s="438">
        <f t="shared" si="5"/>
        <v>70034144.42388457</v>
      </c>
      <c r="D25" s="439">
        <v>5588150.455479998</v>
      </c>
      <c r="E25" s="441">
        <v>4663802.309450102</v>
      </c>
      <c r="F25" s="439">
        <v>1133647.6593100978</v>
      </c>
      <c r="G25" s="436">
        <f t="shared" si="6"/>
        <v>5797449.9687602</v>
      </c>
      <c r="H25" s="436">
        <f t="shared" si="7"/>
        <v>924348.1460298961</v>
      </c>
      <c r="I25" s="436">
        <f t="shared" si="8"/>
        <v>-209299.5132802017</v>
      </c>
      <c r="J25" s="437">
        <v>0</v>
      </c>
      <c r="L25" s="453"/>
      <c r="M25" s="453"/>
    </row>
    <row r="26" spans="2:13" ht="13.5" thickBot="1">
      <c r="B26" s="431" t="s">
        <v>499</v>
      </c>
      <c r="C26" s="438">
        <f t="shared" si="5"/>
        <v>68812915.82928456</v>
      </c>
      <c r="D26" s="441">
        <v>4953074.227019997</v>
      </c>
      <c r="E26" s="441">
        <v>4470297.973289901</v>
      </c>
      <c r="F26" s="441">
        <v>366899.848330101</v>
      </c>
      <c r="G26" s="436">
        <f t="shared" si="6"/>
        <v>4837197.821620002</v>
      </c>
      <c r="H26" s="436">
        <f t="shared" si="7"/>
        <v>482776.2537300959</v>
      </c>
      <c r="I26" s="436">
        <f t="shared" si="8"/>
        <v>-1221228.594600005</v>
      </c>
      <c r="J26" s="437">
        <v>1337105</v>
      </c>
      <c r="L26" s="453"/>
      <c r="M26" s="453"/>
    </row>
    <row r="27" spans="2:13" ht="13.5" thickBot="1">
      <c r="B27" s="431" t="s">
        <v>93</v>
      </c>
      <c r="C27" s="438">
        <f t="shared" si="5"/>
        <v>66868972.40563457</v>
      </c>
      <c r="D27" s="441">
        <v>4521836.78847</v>
      </c>
      <c r="E27" s="441">
        <v>4234873.353169899</v>
      </c>
      <c r="F27" s="441">
        <v>504755.85895010084</v>
      </c>
      <c r="G27" s="436">
        <f t="shared" si="6"/>
        <v>4739629.21212</v>
      </c>
      <c r="H27" s="436">
        <f t="shared" si="7"/>
        <v>286963.4353001006</v>
      </c>
      <c r="I27" s="436">
        <f t="shared" si="8"/>
        <v>-1943943.4236500002</v>
      </c>
      <c r="J27" s="437">
        <v>1726151</v>
      </c>
      <c r="L27" s="453"/>
      <c r="M27" s="453"/>
    </row>
    <row r="28" spans="2:13" ht="13.5" thickBot="1">
      <c r="B28" s="431" t="s">
        <v>500</v>
      </c>
      <c r="C28" s="438">
        <f t="shared" si="5"/>
        <v>67098219.211287014</v>
      </c>
      <c r="D28" s="441">
        <v>4691929.96283</v>
      </c>
      <c r="E28" s="441">
        <v>4081633.1676949523</v>
      </c>
      <c r="F28" s="441">
        <v>309419.98948260024</v>
      </c>
      <c r="G28" s="436">
        <f t="shared" si="6"/>
        <v>4391053.157177553</v>
      </c>
      <c r="H28" s="436">
        <f t="shared" si="7"/>
        <v>610296.7951350473</v>
      </c>
      <c r="I28" s="436">
        <f t="shared" si="8"/>
        <v>229246.80565244704</v>
      </c>
      <c r="J28" s="437">
        <v>71630</v>
      </c>
      <c r="L28" s="453"/>
      <c r="M28" s="453"/>
    </row>
    <row r="29" spans="2:10" ht="13.5" thickBot="1">
      <c r="B29" s="431" t="s">
        <v>501</v>
      </c>
      <c r="C29" s="438">
        <f t="shared" si="5"/>
        <v>67547042.87710693</v>
      </c>
      <c r="D29" s="443">
        <v>5258699.637480013</v>
      </c>
      <c r="E29" s="441">
        <v>4246166.758959901</v>
      </c>
      <c r="F29" s="443">
        <v>372576.2127001975</v>
      </c>
      <c r="G29" s="436">
        <f t="shared" si="6"/>
        <v>4618742.971660098</v>
      </c>
      <c r="H29" s="436">
        <f t="shared" si="7"/>
        <v>1012532.8785201125</v>
      </c>
      <c r="I29" s="436">
        <f t="shared" si="8"/>
        <v>448823.665819915</v>
      </c>
      <c r="J29" s="437">
        <v>191133</v>
      </c>
    </row>
    <row r="30" spans="2:10" ht="13.5" thickBot="1">
      <c r="B30" s="431" t="s">
        <v>502</v>
      </c>
      <c r="C30" s="438">
        <f t="shared" si="5"/>
        <v>67611751.38323694</v>
      </c>
      <c r="D30" s="439">
        <v>5241968.412349999</v>
      </c>
      <c r="E30" s="441">
        <v>4481963.964329995</v>
      </c>
      <c r="F30" s="439">
        <v>354382.9418900013</v>
      </c>
      <c r="G30" s="436">
        <f t="shared" si="6"/>
        <v>4836346.9062199965</v>
      </c>
      <c r="H30" s="436">
        <f t="shared" si="7"/>
        <v>760004.4480200037</v>
      </c>
      <c r="I30" s="436">
        <f t="shared" si="8"/>
        <v>64708.50613000244</v>
      </c>
      <c r="J30" s="437">
        <v>340913</v>
      </c>
    </row>
    <row r="31" spans="2:10" ht="13.5" thickBot="1">
      <c r="B31" s="431" t="s">
        <v>567</v>
      </c>
      <c r="C31" s="438">
        <f t="shared" si="5"/>
        <v>67453477.77553694</v>
      </c>
      <c r="D31" s="439">
        <v>4835021.7628799975</v>
      </c>
      <c r="E31" s="441">
        <v>4700033.113959808</v>
      </c>
      <c r="F31" s="439">
        <v>293262.2566201985</v>
      </c>
      <c r="G31" s="436">
        <f t="shared" si="6"/>
        <v>4993295.370580006</v>
      </c>
      <c r="H31" s="436">
        <f t="shared" si="7"/>
        <v>134988.6489201896</v>
      </c>
      <c r="I31" s="436">
        <f t="shared" si="8"/>
        <v>-158273.6077000089</v>
      </c>
      <c r="J31" s="437">
        <v>0</v>
      </c>
    </row>
    <row r="32" spans="2:10" ht="13.5" thickBot="1">
      <c r="B32" s="431" t="s">
        <v>733</v>
      </c>
      <c r="C32" s="438">
        <f t="shared" si="5"/>
        <v>67286789.26889685</v>
      </c>
      <c r="D32" s="445">
        <v>4683923.810600005</v>
      </c>
      <c r="E32" s="441">
        <v>4541794.301029898</v>
      </c>
      <c r="F32" s="441">
        <v>308818.0162102021</v>
      </c>
      <c r="G32" s="436">
        <f t="shared" si="6"/>
        <v>4850612.3172401</v>
      </c>
      <c r="H32" s="436">
        <f t="shared" si="7"/>
        <v>142129.50957010686</v>
      </c>
      <c r="I32" s="436">
        <f t="shared" si="8"/>
        <v>-166688.50664009526</v>
      </c>
      <c r="J32" s="437">
        <v>0</v>
      </c>
    </row>
    <row r="33" spans="2:10" ht="13.5" thickBot="1">
      <c r="B33" s="431" t="s">
        <v>734</v>
      </c>
      <c r="C33" s="438">
        <f t="shared" si="5"/>
        <v>67959634.13763686</v>
      </c>
      <c r="D33" s="446">
        <v>4991543.020860001</v>
      </c>
      <c r="E33" s="441">
        <v>4020207.853789896</v>
      </c>
      <c r="F33" s="446">
        <v>298490.29833010025</v>
      </c>
      <c r="G33" s="436">
        <f t="shared" si="6"/>
        <v>4318698.152119996</v>
      </c>
      <c r="H33" s="436">
        <f t="shared" si="7"/>
        <v>971335.1670701057</v>
      </c>
      <c r="I33" s="436">
        <f t="shared" si="8"/>
        <v>672844.8687400054</v>
      </c>
      <c r="J33" s="437">
        <v>0</v>
      </c>
    </row>
    <row r="34" spans="2:10" ht="12.75">
      <c r="B34" s="431" t="s">
        <v>735</v>
      </c>
      <c r="C34" s="438">
        <f t="shared" si="5"/>
        <v>68803188.81433684</v>
      </c>
      <c r="D34" s="436">
        <v>5872242.521609992</v>
      </c>
      <c r="E34" s="441">
        <v>4750947.74767001</v>
      </c>
      <c r="F34" s="436">
        <v>277740.0972399991</v>
      </c>
      <c r="G34" s="436">
        <f t="shared" si="6"/>
        <v>5028687.844910009</v>
      </c>
      <c r="H34" s="436">
        <f t="shared" si="7"/>
        <v>1121294.773939982</v>
      </c>
      <c r="I34" s="436">
        <f t="shared" si="8"/>
        <v>843554.676699983</v>
      </c>
      <c r="J34" s="437">
        <v>0</v>
      </c>
    </row>
    <row r="35" spans="2:10" ht="13.5" thickBot="1">
      <c r="B35" s="448" t="s">
        <v>17</v>
      </c>
      <c r="C35" s="449"/>
      <c r="D35" s="450">
        <f>SUM(D23:D34)</f>
        <v>61780665.12925999</v>
      </c>
      <c r="E35" s="450">
        <f>SUM(E23:E34)</f>
        <v>48491589.21376436</v>
      </c>
      <c r="F35" s="450">
        <f>SUM(F23:F34)</f>
        <v>12225001.6675238</v>
      </c>
      <c r="G35" s="451">
        <f>SUM(G23:G34)</f>
        <v>60716590.88128817</v>
      </c>
      <c r="H35" s="451">
        <f>SUM(H23:H34)</f>
        <v>13289075.915495627</v>
      </c>
      <c r="I35" s="451"/>
      <c r="J35" s="454">
        <f>SUM(J23:J34)</f>
        <v>3666932</v>
      </c>
    </row>
    <row r="36" ht="13.5" thickBot="1"/>
    <row r="37" spans="2:10" ht="13.5" thickBot="1">
      <c r="B37" s="1251" t="s">
        <v>758</v>
      </c>
      <c r="C37" s="1252"/>
      <c r="D37" s="1252"/>
      <c r="E37" s="1252"/>
      <c r="F37" s="1252"/>
      <c r="G37" s="1252"/>
      <c r="H37" s="1252"/>
      <c r="I37" s="1252"/>
      <c r="J37" s="1253"/>
    </row>
    <row r="38" spans="2:10" ht="25.5" customHeight="1">
      <c r="B38" s="1254">
        <v>2016</v>
      </c>
      <c r="C38" s="1069" t="s">
        <v>759</v>
      </c>
      <c r="D38" s="1069" t="s">
        <v>760</v>
      </c>
      <c r="E38" s="1256" t="s">
        <v>761</v>
      </c>
      <c r="F38" s="1256" t="s">
        <v>762</v>
      </c>
      <c r="G38" s="1256" t="s">
        <v>763</v>
      </c>
      <c r="H38" s="1256" t="s">
        <v>764</v>
      </c>
      <c r="I38" s="1256" t="s">
        <v>765</v>
      </c>
      <c r="J38" s="1258" t="s">
        <v>766</v>
      </c>
    </row>
    <row r="39" spans="2:10" ht="22.5" customHeight="1" thickBot="1">
      <c r="B39" s="1255"/>
      <c r="C39" s="1070"/>
      <c r="D39" s="1071"/>
      <c r="E39" s="1257"/>
      <c r="F39" s="1257"/>
      <c r="G39" s="1257"/>
      <c r="H39" s="1257"/>
      <c r="I39" s="1257"/>
      <c r="J39" s="1259"/>
    </row>
    <row r="40" spans="2:10" ht="12.75">
      <c r="B40" s="455"/>
      <c r="C40" s="456">
        <v>68803188.81433684</v>
      </c>
      <c r="D40" s="429">
        <v>2</v>
      </c>
      <c r="E40" s="429">
        <v>5</v>
      </c>
      <c r="F40" s="429">
        <v>7</v>
      </c>
      <c r="G40" s="429" t="s">
        <v>1</v>
      </c>
      <c r="H40" s="429" t="s">
        <v>2</v>
      </c>
      <c r="I40" s="429"/>
      <c r="J40" s="457" t="s">
        <v>195</v>
      </c>
    </row>
    <row r="41" spans="2:10" ht="12.75">
      <c r="B41" s="458" t="s">
        <v>496</v>
      </c>
      <c r="C41" s="459">
        <v>69383531.72499685</v>
      </c>
      <c r="D41" s="460">
        <v>5987971.312970001</v>
      </c>
      <c r="E41" s="460">
        <v>11009.646589899998</v>
      </c>
      <c r="F41" s="460">
        <v>5396618.755720091</v>
      </c>
      <c r="G41" s="8">
        <v>5407628.402309991</v>
      </c>
      <c r="H41" s="8">
        <v>5976961.666380101</v>
      </c>
      <c r="I41" s="8">
        <v>580342.9106600098</v>
      </c>
      <c r="J41" s="25">
        <v>0</v>
      </c>
    </row>
    <row r="42" spans="2:10" ht="12.75">
      <c r="B42" s="458" t="s">
        <v>497</v>
      </c>
      <c r="C42" s="9">
        <v>69618270.72022682</v>
      </c>
      <c r="D42" s="461">
        <v>5445503.357909981</v>
      </c>
      <c r="E42" s="461">
        <v>3744679.5188201</v>
      </c>
      <c r="F42" s="461">
        <v>1455075.1972700043</v>
      </c>
      <c r="G42" s="8">
        <v>5199754.716090105</v>
      </c>
      <c r="H42" s="8">
        <v>1700823.8390898812</v>
      </c>
      <c r="I42" s="462">
        <v>234738.9952299744</v>
      </c>
      <c r="J42" s="25">
        <v>0</v>
      </c>
    </row>
    <row r="43" spans="2:10" ht="12.75">
      <c r="B43" s="458" t="s">
        <v>498</v>
      </c>
      <c r="C43" s="9">
        <v>69927157.87537643</v>
      </c>
      <c r="D43" s="461">
        <v>5513517.361650001</v>
      </c>
      <c r="E43" s="461">
        <v>4673435.382739901</v>
      </c>
      <c r="F43" s="461">
        <v>531194.8237604918</v>
      </c>
      <c r="G43" s="8">
        <v>5204630.206500392</v>
      </c>
      <c r="H43" s="8">
        <v>840081.9789101006</v>
      </c>
      <c r="I43" s="8">
        <v>308887.15514960885</v>
      </c>
      <c r="J43" s="25">
        <v>0</v>
      </c>
    </row>
    <row r="44" spans="2:10" ht="12.75">
      <c r="B44" s="458" t="s">
        <v>499</v>
      </c>
      <c r="C44" s="9">
        <v>69788726.68981642</v>
      </c>
      <c r="D44" s="461">
        <v>4826976.948789991</v>
      </c>
      <c r="E44" s="461">
        <v>4641557.01726</v>
      </c>
      <c r="F44" s="461">
        <v>323851.1170900017</v>
      </c>
      <c r="G44" s="8">
        <v>4965408.134350002</v>
      </c>
      <c r="H44" s="8">
        <v>185419.93152999133</v>
      </c>
      <c r="I44" s="8">
        <v>-138431.18556001037</v>
      </c>
      <c r="J44" s="25">
        <v>0</v>
      </c>
    </row>
    <row r="45" spans="2:10" ht="12.75">
      <c r="B45" s="458" t="s">
        <v>93</v>
      </c>
      <c r="C45" s="9">
        <v>67042794.89981842</v>
      </c>
      <c r="D45" s="463">
        <v>4835732.5724</v>
      </c>
      <c r="E45" s="463">
        <v>4504255.918199999</v>
      </c>
      <c r="F45" s="463">
        <v>276918.4381799996</v>
      </c>
      <c r="G45" s="8">
        <v>4781174.356379999</v>
      </c>
      <c r="H45" s="8">
        <v>331476.6542000007</v>
      </c>
      <c r="I45" s="8">
        <v>-2745931.789997992</v>
      </c>
      <c r="J45" s="26">
        <v>2800490.006017993</v>
      </c>
    </row>
    <row r="46" spans="2:10" ht="12.75">
      <c r="B46" s="458" t="s">
        <v>500</v>
      </c>
      <c r="C46" s="9">
        <v>67501588.89502832</v>
      </c>
      <c r="D46" s="463">
        <v>4525727.568155799</v>
      </c>
      <c r="E46" s="463">
        <v>4203846.834470004</v>
      </c>
      <c r="F46" s="463">
        <v>245815.91147009935</v>
      </c>
      <c r="G46" s="8">
        <v>4449662.745940103</v>
      </c>
      <c r="H46" s="8">
        <v>321880.7336857952</v>
      </c>
      <c r="I46" s="462">
        <v>458793.9952098951</v>
      </c>
      <c r="J46" s="25">
        <v>0</v>
      </c>
    </row>
    <row r="47" spans="2:10" ht="12.75">
      <c r="B47" s="458" t="s">
        <v>501</v>
      </c>
      <c r="C47" s="9">
        <v>68121672.62983823</v>
      </c>
      <c r="D47" s="463">
        <v>5241459.140150007</v>
      </c>
      <c r="E47" s="463">
        <v>4390082.664159596</v>
      </c>
      <c r="F47" s="463">
        <v>231292.74118050374</v>
      </c>
      <c r="G47" s="8">
        <v>4621375.4053401</v>
      </c>
      <c r="H47" s="8">
        <v>851376.4759904109</v>
      </c>
      <c r="I47" s="8">
        <v>620083.7348099072</v>
      </c>
      <c r="J47" s="25">
        <v>0</v>
      </c>
    </row>
    <row r="48" spans="2:10" ht="12.75">
      <c r="B48" s="458" t="s">
        <v>502</v>
      </c>
      <c r="C48" s="9">
        <v>68364411.62983823</v>
      </c>
      <c r="D48" s="464">
        <v>5309834</v>
      </c>
      <c r="E48" s="464">
        <v>4799986</v>
      </c>
      <c r="F48" s="464">
        <v>267109</v>
      </c>
      <c r="G48" s="8">
        <v>5067095</v>
      </c>
      <c r="H48" s="8">
        <v>509848</v>
      </c>
      <c r="I48" s="8">
        <v>242739</v>
      </c>
      <c r="J48" s="25">
        <v>0</v>
      </c>
    </row>
    <row r="49" spans="2:10" ht="12.75">
      <c r="B49" s="458" t="s">
        <v>567</v>
      </c>
      <c r="C49" s="9">
        <f>C48+I49</f>
        <v>68350353.92341766</v>
      </c>
      <c r="D49" s="465">
        <v>4844483.426959999</v>
      </c>
      <c r="E49" s="465">
        <v>4650850.65815999</v>
      </c>
      <c r="F49" s="465">
        <v>207690.4752205871</v>
      </c>
      <c r="G49" s="8">
        <f>SUM(E49:F49)</f>
        <v>4858541.133380577</v>
      </c>
      <c r="H49" s="8">
        <f>D49-E49</f>
        <v>193632.76880000904</v>
      </c>
      <c r="I49" s="8">
        <f>D49-E49-F49-J49</f>
        <v>-14057.706420578063</v>
      </c>
      <c r="J49" s="25">
        <v>0</v>
      </c>
    </row>
    <row r="50" spans="2:10" ht="12.75">
      <c r="B50" s="458" t="s">
        <v>733</v>
      </c>
      <c r="C50" s="9">
        <f>C49+I50</f>
        <v>68499704.51267765</v>
      </c>
      <c r="D50" s="465">
        <v>4834628.379879996</v>
      </c>
      <c r="E50" s="465">
        <v>4480376.67261</v>
      </c>
      <c r="F50" s="465">
        <v>204901.1180099994</v>
      </c>
      <c r="G50" s="8">
        <f>SUM(E50:F50)</f>
        <v>4685277.790619999</v>
      </c>
      <c r="H50" s="8">
        <f>D50-E50</f>
        <v>354251.7072699964</v>
      </c>
      <c r="I50" s="8">
        <f>D50-E50-F50-J50</f>
        <v>149350.589259997</v>
      </c>
      <c r="J50" s="25">
        <v>0</v>
      </c>
    </row>
    <row r="51" spans="2:10" ht="12.75">
      <c r="B51" s="458" t="s">
        <v>734</v>
      </c>
      <c r="C51" s="9">
        <f>C50+I51</f>
        <v>69372495.59410754</v>
      </c>
      <c r="D51" s="465">
        <v>5236378.09954001</v>
      </c>
      <c r="E51" s="465">
        <v>4175054.1816300154</v>
      </c>
      <c r="F51" s="465">
        <v>188532.83648010343</v>
      </c>
      <c r="G51" s="8">
        <f>SUM(E51:F51)</f>
        <v>4363587.018110119</v>
      </c>
      <c r="H51" s="8">
        <f>D51-E51</f>
        <v>1061323.9179099947</v>
      </c>
      <c r="I51" s="8">
        <f>D51-E51-F51-J51</f>
        <v>872791.0814298913</v>
      </c>
      <c r="J51" s="25">
        <v>0</v>
      </c>
    </row>
    <row r="52" spans="2:10" ht="12.75">
      <c r="B52" s="458" t="s">
        <v>735</v>
      </c>
      <c r="C52" s="9">
        <f>C51+I52</f>
        <v>70720060.91074753</v>
      </c>
      <c r="D52" s="465">
        <v>6410680.965950005</v>
      </c>
      <c r="E52" s="465">
        <v>4854704.939520009</v>
      </c>
      <c r="F52" s="465">
        <v>208410.7097900007</v>
      </c>
      <c r="G52" s="8">
        <f>SUM(E52:F52)</f>
        <v>5063115.64931001</v>
      </c>
      <c r="H52" s="8">
        <f>D52-E52</f>
        <v>1555976.026429996</v>
      </c>
      <c r="I52" s="8">
        <f>D52-E52-F52-J52</f>
        <v>1347565.3166399952</v>
      </c>
      <c r="J52" s="25">
        <v>0</v>
      </c>
    </row>
    <row r="53" spans="2:10" ht="13.5" thickBot="1">
      <c r="B53" s="466" t="s">
        <v>17</v>
      </c>
      <c r="C53" s="27"/>
      <c r="D53" s="28">
        <f>SUM(D41:D52)</f>
        <v>63012893.13435579</v>
      </c>
      <c r="E53" s="28">
        <f>SUM(E41:E52)</f>
        <v>49129839.43415951</v>
      </c>
      <c r="F53" s="28">
        <f>SUM(F41:F52)</f>
        <v>9537411.124171881</v>
      </c>
      <c r="G53" s="28">
        <f>SUM(G41:G52)</f>
        <v>58667250.55833139</v>
      </c>
      <c r="H53" s="28">
        <f>SUM(H41:H52)</f>
        <v>13883053.700196275</v>
      </c>
      <c r="I53" s="28"/>
      <c r="J53" s="29">
        <f>SUM(J41:J52)</f>
        <v>2800490.006017993</v>
      </c>
    </row>
    <row r="54" ht="13.5" thickBot="1"/>
    <row r="55" spans="2:10" ht="13.5" thickBot="1">
      <c r="B55" s="1251" t="s">
        <v>767</v>
      </c>
      <c r="C55" s="1252"/>
      <c r="D55" s="1252"/>
      <c r="E55" s="1252"/>
      <c r="F55" s="1252"/>
      <c r="G55" s="1252"/>
      <c r="H55" s="1252"/>
      <c r="I55" s="1252"/>
      <c r="J55" s="1253"/>
    </row>
    <row r="56" spans="2:10" ht="25.5" customHeight="1">
      <c r="B56" s="1254">
        <v>2017</v>
      </c>
      <c r="C56" s="1069" t="s">
        <v>768</v>
      </c>
      <c r="D56" s="1069" t="s">
        <v>769</v>
      </c>
      <c r="E56" s="1256" t="s">
        <v>770</v>
      </c>
      <c r="F56" s="1256" t="s">
        <v>771</v>
      </c>
      <c r="G56" s="1256" t="s">
        <v>763</v>
      </c>
      <c r="H56" s="1256" t="s">
        <v>772</v>
      </c>
      <c r="I56" s="1256" t="s">
        <v>773</v>
      </c>
      <c r="J56" s="1258" t="s">
        <v>766</v>
      </c>
    </row>
    <row r="57" spans="2:10" ht="24.75" customHeight="1" thickBot="1">
      <c r="B57" s="1255"/>
      <c r="C57" s="1070"/>
      <c r="D57" s="1071"/>
      <c r="E57" s="1257"/>
      <c r="F57" s="1257"/>
      <c r="G57" s="1257"/>
      <c r="H57" s="1257"/>
      <c r="I57" s="1257"/>
      <c r="J57" s="1259"/>
    </row>
    <row r="58" spans="2:10" ht="12.75">
      <c r="B58" s="455"/>
      <c r="C58" s="456">
        <f>C52</f>
        <v>70720060.91074753</v>
      </c>
      <c r="D58" s="429">
        <v>2</v>
      </c>
      <c r="E58" s="429">
        <v>5</v>
      </c>
      <c r="F58" s="429">
        <v>7</v>
      </c>
      <c r="G58" s="429" t="s">
        <v>1</v>
      </c>
      <c r="H58" s="429" t="s">
        <v>2</v>
      </c>
      <c r="I58" s="429"/>
      <c r="J58" s="457"/>
    </row>
    <row r="59" spans="2:10" ht="12.75">
      <c r="B59" s="458" t="s">
        <v>496</v>
      </c>
      <c r="C59" s="459">
        <f aca="true" t="shared" si="9" ref="C59:C66">C58+I59</f>
        <v>71449570.91074753</v>
      </c>
      <c r="D59" s="460">
        <v>6192711</v>
      </c>
      <c r="E59" s="460">
        <v>2680</v>
      </c>
      <c r="F59" s="460">
        <v>5460521</v>
      </c>
      <c r="G59" s="8">
        <f>E59+F59</f>
        <v>5463201</v>
      </c>
      <c r="H59" s="8">
        <f>D59-E59</f>
        <v>6190031</v>
      </c>
      <c r="I59" s="8">
        <f>D59-E59-F59</f>
        <v>729510</v>
      </c>
      <c r="J59" s="89">
        <v>0</v>
      </c>
    </row>
    <row r="60" spans="2:10" ht="12.75">
      <c r="B60" s="458" t="s">
        <v>497</v>
      </c>
      <c r="C60" s="9">
        <f t="shared" si="9"/>
        <v>71348178.91074753</v>
      </c>
      <c r="D60" s="461">
        <v>5323527</v>
      </c>
      <c r="E60" s="461">
        <v>3823606</v>
      </c>
      <c r="F60" s="461">
        <v>1601313</v>
      </c>
      <c r="G60" s="8">
        <f aca="true" t="shared" si="10" ref="G60:G66">E60+F60</f>
        <v>5424919</v>
      </c>
      <c r="H60" s="8">
        <f aca="true" t="shared" si="11" ref="H60:H66">D60-E60</f>
        <v>1499921</v>
      </c>
      <c r="I60" s="8">
        <f aca="true" t="shared" si="12" ref="I60:I66">D60-E60-F60</f>
        <v>-101392</v>
      </c>
      <c r="J60" s="89">
        <v>0</v>
      </c>
    </row>
    <row r="61" spans="2:10" ht="12.75">
      <c r="B61" s="458" t="s">
        <v>498</v>
      </c>
      <c r="C61" s="9">
        <f t="shared" si="9"/>
        <v>70863991.91074753</v>
      </c>
      <c r="D61" s="461">
        <v>5141318</v>
      </c>
      <c r="E61" s="461">
        <v>4963971</v>
      </c>
      <c r="F61" s="461">
        <v>661534</v>
      </c>
      <c r="G61" s="8">
        <f t="shared" si="10"/>
        <v>5625505</v>
      </c>
      <c r="H61" s="8">
        <f t="shared" si="11"/>
        <v>177347</v>
      </c>
      <c r="I61" s="8">
        <f t="shared" si="12"/>
        <v>-484187</v>
      </c>
      <c r="J61" s="89">
        <v>0</v>
      </c>
    </row>
    <row r="62" spans="2:10" ht="12.75">
      <c r="B62" s="458" t="s">
        <v>499</v>
      </c>
      <c r="C62" s="9">
        <f t="shared" si="9"/>
        <v>70863941.91074753</v>
      </c>
      <c r="D62" s="461">
        <v>4857464</v>
      </c>
      <c r="E62" s="461">
        <v>4525615</v>
      </c>
      <c r="F62" s="461">
        <v>331899</v>
      </c>
      <c r="G62" s="8">
        <f t="shared" si="10"/>
        <v>4857514</v>
      </c>
      <c r="H62" s="8">
        <f t="shared" si="11"/>
        <v>331849</v>
      </c>
      <c r="I62" s="8">
        <f t="shared" si="12"/>
        <v>-50</v>
      </c>
      <c r="J62" s="89">
        <v>0</v>
      </c>
    </row>
    <row r="63" spans="2:10" ht="12.75">
      <c r="B63" s="458" t="s">
        <v>93</v>
      </c>
      <c r="C63" s="9">
        <f t="shared" si="9"/>
        <v>70398535.11593704</v>
      </c>
      <c r="D63" s="246">
        <v>4667810.036059998</v>
      </c>
      <c r="E63" s="246">
        <v>4599520.093959903</v>
      </c>
      <c r="F63" s="246">
        <v>533696.7369105835</v>
      </c>
      <c r="G63" s="8">
        <f t="shared" si="10"/>
        <v>5133216.830870487</v>
      </c>
      <c r="H63" s="8">
        <f t="shared" si="11"/>
        <v>68289.94210009463</v>
      </c>
      <c r="I63" s="8">
        <f t="shared" si="12"/>
        <v>-465406.7948104888</v>
      </c>
      <c r="J63" s="26">
        <v>0</v>
      </c>
    </row>
    <row r="64" spans="2:10" ht="12.75">
      <c r="B64" s="458" t="s">
        <v>500</v>
      </c>
      <c r="C64" s="9">
        <f t="shared" si="9"/>
        <v>70787602.88719696</v>
      </c>
      <c r="D64" s="246">
        <v>4675924.262030002</v>
      </c>
      <c r="E64" s="246">
        <v>4055719.9667598903</v>
      </c>
      <c r="F64" s="246">
        <v>231136.52401019633</v>
      </c>
      <c r="G64" s="8">
        <f t="shared" si="10"/>
        <v>4286856.490770087</v>
      </c>
      <c r="H64" s="8">
        <f t="shared" si="11"/>
        <v>620204.2952701114</v>
      </c>
      <c r="I64" s="8">
        <f t="shared" si="12"/>
        <v>389067.7712599151</v>
      </c>
      <c r="J64" s="89">
        <v>0</v>
      </c>
    </row>
    <row r="65" spans="2:10" ht="12.75">
      <c r="B65" s="458" t="s">
        <v>501</v>
      </c>
      <c r="C65" s="9">
        <f t="shared" si="9"/>
        <v>71320867.86652696</v>
      </c>
      <c r="D65" s="246">
        <v>5435008.841620002</v>
      </c>
      <c r="E65" s="246">
        <v>4599634.036219921</v>
      </c>
      <c r="F65" s="246">
        <v>302109.8260700796</v>
      </c>
      <c r="G65" s="8">
        <f t="shared" si="10"/>
        <v>4901743.862290001</v>
      </c>
      <c r="H65" s="8">
        <f t="shared" si="11"/>
        <v>835374.805400081</v>
      </c>
      <c r="I65" s="8">
        <f t="shared" si="12"/>
        <v>533264.9793300014</v>
      </c>
      <c r="J65" s="89">
        <v>0</v>
      </c>
    </row>
    <row r="66" spans="2:10" ht="12.75">
      <c r="B66" s="458" t="s">
        <v>502</v>
      </c>
      <c r="C66" s="9">
        <f t="shared" si="9"/>
        <v>71661545.7176169</v>
      </c>
      <c r="D66" s="246">
        <v>5635938.716029994</v>
      </c>
      <c r="E66" s="246">
        <v>4996202.674489994</v>
      </c>
      <c r="F66" s="246">
        <v>299058.19045006484</v>
      </c>
      <c r="G66" s="8">
        <f t="shared" si="10"/>
        <v>5295260.864940058</v>
      </c>
      <c r="H66" s="8">
        <f t="shared" si="11"/>
        <v>639736.0415400006</v>
      </c>
      <c r="I66" s="8">
        <f t="shared" si="12"/>
        <v>340677.85108993575</v>
      </c>
      <c r="J66" s="89">
        <v>0</v>
      </c>
    </row>
    <row r="67" spans="2:10" ht="12.75">
      <c r="B67" s="458" t="s">
        <v>567</v>
      </c>
      <c r="C67" s="9"/>
      <c r="D67" s="465"/>
      <c r="E67" s="465"/>
      <c r="F67" s="465"/>
      <c r="G67" s="8"/>
      <c r="H67" s="8"/>
      <c r="I67" s="8"/>
      <c r="J67" s="25"/>
    </row>
    <row r="68" spans="2:10" ht="12.75">
      <c r="B68" s="458" t="s">
        <v>733</v>
      </c>
      <c r="C68" s="9"/>
      <c r="D68" s="465"/>
      <c r="E68" s="465"/>
      <c r="F68" s="465"/>
      <c r="G68" s="8"/>
      <c r="H68" s="8"/>
      <c r="I68" s="8"/>
      <c r="J68" s="25"/>
    </row>
    <row r="69" spans="2:10" ht="12.75">
      <c r="B69" s="458" t="s">
        <v>734</v>
      </c>
      <c r="C69" s="9"/>
      <c r="D69" s="465"/>
      <c r="E69" s="465"/>
      <c r="F69" s="465"/>
      <c r="G69" s="8"/>
      <c r="H69" s="8"/>
      <c r="I69" s="8"/>
      <c r="J69" s="25"/>
    </row>
    <row r="70" spans="2:10" ht="12.75">
      <c r="B70" s="458" t="s">
        <v>735</v>
      </c>
      <c r="C70" s="9"/>
      <c r="D70" s="465"/>
      <c r="E70" s="465"/>
      <c r="F70" s="465"/>
      <c r="G70" s="8"/>
      <c r="H70" s="8"/>
      <c r="I70" s="8"/>
      <c r="J70" s="25"/>
    </row>
    <row r="71" spans="2:10" ht="13.5" thickBot="1">
      <c r="B71" s="466" t="s">
        <v>17</v>
      </c>
      <c r="C71" s="27"/>
      <c r="D71" s="28"/>
      <c r="E71" s="28"/>
      <c r="F71" s="28"/>
      <c r="G71" s="28"/>
      <c r="H71" s="28"/>
      <c r="I71" s="28"/>
      <c r="J71" s="29"/>
    </row>
    <row r="73" spans="9:11" ht="12.75">
      <c r="I73" s="1102" t="s">
        <v>443</v>
      </c>
      <c r="J73" s="1102"/>
      <c r="K73" s="1102"/>
    </row>
  </sheetData>
  <sheetProtection/>
  <mergeCells count="33">
    <mergeCell ref="B37:J37"/>
    <mergeCell ref="B38:B39"/>
    <mergeCell ref="E38:E39"/>
    <mergeCell ref="F38:F39"/>
    <mergeCell ref="G38:G39"/>
    <mergeCell ref="H38:H39"/>
    <mergeCell ref="I38:I39"/>
    <mergeCell ref="J38:J39"/>
    <mergeCell ref="B1:J1"/>
    <mergeCell ref="B19:J19"/>
    <mergeCell ref="J20:J21"/>
    <mergeCell ref="B20:B21"/>
    <mergeCell ref="E20:E21"/>
    <mergeCell ref="F20:F21"/>
    <mergeCell ref="G20:G21"/>
    <mergeCell ref="H20:H21"/>
    <mergeCell ref="I20:I21"/>
    <mergeCell ref="J2:J3"/>
    <mergeCell ref="B2:B3"/>
    <mergeCell ref="E2:E3"/>
    <mergeCell ref="F2:F3"/>
    <mergeCell ref="G2:G3"/>
    <mergeCell ref="H2:H3"/>
    <mergeCell ref="I2:I3"/>
    <mergeCell ref="I73:K73"/>
    <mergeCell ref="B55:J55"/>
    <mergeCell ref="B56:B57"/>
    <mergeCell ref="E56:E57"/>
    <mergeCell ref="F56:F57"/>
    <mergeCell ref="G56:G57"/>
    <mergeCell ref="H56:H57"/>
    <mergeCell ref="I56:I57"/>
    <mergeCell ref="J56:J57"/>
  </mergeCells>
  <printOptions/>
  <pageMargins left="0.25" right="0.25" top="0.75" bottom="0.75" header="0.3" footer="0.3"/>
  <pageSetup orientation="landscape" scale="50" r:id="rId1"/>
  <colBreaks count="1" manualBreakCount="1">
    <brk id="10" max="7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4">
      <selection activeCell="V16" sqref="V16"/>
    </sheetView>
  </sheetViews>
  <sheetFormatPr defaultColWidth="9.140625" defaultRowHeight="15"/>
  <cols>
    <col min="1" max="1" width="15.57421875" style="1" bestFit="1" customWidth="1"/>
    <col min="2" max="2" width="8.57421875" style="1" bestFit="1" customWidth="1"/>
    <col min="3" max="4" width="8.421875" style="1" bestFit="1" customWidth="1"/>
    <col min="5" max="6" width="8.28125" style="1" bestFit="1" customWidth="1"/>
    <col min="7" max="7" width="8.140625" style="1" bestFit="1" customWidth="1"/>
    <col min="8" max="8" width="8.421875" style="1" bestFit="1" customWidth="1"/>
    <col min="9" max="9" width="8.28125" style="1" bestFit="1" customWidth="1"/>
    <col min="10" max="10" width="8.421875" style="1" bestFit="1" customWidth="1"/>
    <col min="11" max="11" width="8.28125" style="1" bestFit="1" customWidth="1"/>
    <col min="12" max="12" width="8.421875" style="1" bestFit="1" customWidth="1"/>
    <col min="13" max="13" width="8.28125" style="1" bestFit="1" customWidth="1"/>
    <col min="14" max="14" width="8.421875" style="1" bestFit="1" customWidth="1"/>
    <col min="15" max="16" width="8.28125" style="1" bestFit="1" customWidth="1"/>
    <col min="17" max="17" width="8.421875" style="1" bestFit="1" customWidth="1"/>
    <col min="18" max="18" width="3.00390625" style="1" customWidth="1"/>
    <col min="19" max="16384" width="9.140625" style="1" customWidth="1"/>
  </cols>
  <sheetData>
    <row r="1" spans="1:18" ht="30" customHeight="1">
      <c r="A1" s="1248" t="s">
        <v>774</v>
      </c>
      <c r="B1" s="1248"/>
      <c r="C1" s="1248"/>
      <c r="D1" s="1248"/>
      <c r="E1" s="1248"/>
      <c r="F1" s="1248"/>
      <c r="G1" s="1248"/>
      <c r="H1" s="1248"/>
      <c r="I1" s="1248"/>
      <c r="J1" s="1248"/>
      <c r="K1" s="1248"/>
      <c r="L1" s="1248"/>
      <c r="M1" s="1248"/>
      <c r="N1" s="1248"/>
      <c r="O1" s="1248"/>
      <c r="P1" s="1248"/>
      <c r="Q1" s="1247"/>
      <c r="R1" s="419"/>
    </row>
    <row r="2" spans="1:18" ht="12.75">
      <c r="A2" s="420" t="s">
        <v>775</v>
      </c>
      <c r="B2" s="421" t="s">
        <v>71</v>
      </c>
      <c r="C2" s="421" t="s">
        <v>72</v>
      </c>
      <c r="D2" s="421" t="s">
        <v>73</v>
      </c>
      <c r="E2" s="421" t="s">
        <v>74</v>
      </c>
      <c r="F2" s="421" t="s">
        <v>75</v>
      </c>
      <c r="G2" s="421" t="s">
        <v>76</v>
      </c>
      <c r="H2" s="421" t="s">
        <v>77</v>
      </c>
      <c r="I2" s="421" t="s">
        <v>78</v>
      </c>
      <c r="J2" s="421" t="s">
        <v>79</v>
      </c>
      <c r="K2" s="421" t="s">
        <v>80</v>
      </c>
      <c r="L2" s="421" t="s">
        <v>81</v>
      </c>
      <c r="M2" s="421" t="s">
        <v>82</v>
      </c>
      <c r="N2" s="421" t="s">
        <v>83</v>
      </c>
      <c r="O2" s="19" t="s">
        <v>123</v>
      </c>
      <c r="P2" s="421" t="s">
        <v>205</v>
      </c>
      <c r="Q2" s="421" t="s">
        <v>376</v>
      </c>
      <c r="R2" s="373"/>
    </row>
    <row r="3" spans="1:18" ht="12.75">
      <c r="A3" s="79" t="s">
        <v>777</v>
      </c>
      <c r="B3" s="81">
        <v>872.1094676088877</v>
      </c>
      <c r="C3" s="81">
        <v>988.11782727</v>
      </c>
      <c r="D3" s="82">
        <v>1187.68149481</v>
      </c>
      <c r="E3" s="82">
        <v>1538.07065184</v>
      </c>
      <c r="F3" s="83">
        <v>1874.1883820210555</v>
      </c>
      <c r="G3" s="83">
        <v>2841</v>
      </c>
      <c r="H3" s="83">
        <v>3073.737466061889</v>
      </c>
      <c r="I3" s="83">
        <v>3222.881462558899</v>
      </c>
      <c r="J3" s="84">
        <v>3798.0815277709326</v>
      </c>
      <c r="K3" s="83">
        <v>3886.3121846040367</v>
      </c>
      <c r="L3" s="85">
        <v>3110.6288192120364</v>
      </c>
      <c r="M3" s="83">
        <v>2690.695</v>
      </c>
      <c r="N3" s="83">
        <v>2054.6134737992697</v>
      </c>
      <c r="O3" s="83">
        <v>1914.9058016442702</v>
      </c>
      <c r="P3" s="85">
        <v>2263.6520810742686</v>
      </c>
      <c r="Q3" s="83">
        <v>2397.374362374268</v>
      </c>
      <c r="R3" s="373"/>
    </row>
    <row r="4" spans="1:18" ht="12.75">
      <c r="A4" s="79" t="s">
        <v>778</v>
      </c>
      <c r="B4" s="81">
        <v>13727.716921815316</v>
      </c>
      <c r="C4" s="81">
        <v>18952.68562609</v>
      </c>
      <c r="D4" s="82">
        <v>22428.677784589992</v>
      </c>
      <c r="E4" s="82">
        <v>27366.147777242</v>
      </c>
      <c r="F4" s="83">
        <v>30411.72830608532</v>
      </c>
      <c r="G4" s="83">
        <v>38104</v>
      </c>
      <c r="H4" s="83">
        <v>41839.34977040108</v>
      </c>
      <c r="I4" s="83">
        <v>45304.02933184552</v>
      </c>
      <c r="J4" s="86">
        <v>48551.82677192668</v>
      </c>
      <c r="K4" s="83">
        <v>52313.11960481368</v>
      </c>
      <c r="L4" s="85">
        <v>54795.02768831547</v>
      </c>
      <c r="M4" s="83">
        <v>55590.509</v>
      </c>
      <c r="N4" s="83">
        <v>52604.93238198919</v>
      </c>
      <c r="O4" s="83">
        <v>52802.15694588393</v>
      </c>
      <c r="P4" s="85">
        <v>51583.057838095294</v>
      </c>
      <c r="Q4" s="83">
        <v>50289.94778298474</v>
      </c>
      <c r="R4" s="373"/>
    </row>
    <row r="5" spans="1:18" ht="12.75">
      <c r="A5" s="79" t="s">
        <v>776</v>
      </c>
      <c r="B5" s="81">
        <v>2913.997683248583</v>
      </c>
      <c r="C5" s="81">
        <v>2468.499746719999</v>
      </c>
      <c r="D5" s="82">
        <v>3167.896149889999</v>
      </c>
      <c r="E5" s="82">
        <v>2269.0626701720003</v>
      </c>
      <c r="F5" s="83">
        <v>2939.5008988220766</v>
      </c>
      <c r="G5" s="83">
        <v>3516</v>
      </c>
      <c r="H5" s="83">
        <v>3694.087382807469</v>
      </c>
      <c r="I5" s="83">
        <v>3687.7154134712696</v>
      </c>
      <c r="J5" s="84">
        <v>4058.2221183839106</v>
      </c>
      <c r="K5" s="83">
        <v>5026.08252575938</v>
      </c>
      <c r="L5" s="85">
        <v>3382.230393159379</v>
      </c>
      <c r="M5" s="83">
        <v>2963.502</v>
      </c>
      <c r="N5" s="83">
        <v>1576.6695348593807</v>
      </c>
      <c r="O5" s="83">
        <v>2981.299054049382</v>
      </c>
      <c r="P5" s="85">
        <v>5775.6418584293815</v>
      </c>
      <c r="Q5" s="83">
        <v>7374.959024619381</v>
      </c>
      <c r="R5" s="373"/>
    </row>
    <row r="6" spans="1:18" ht="12.75">
      <c r="A6" s="79" t="s">
        <v>779</v>
      </c>
      <c r="B6" s="81">
        <v>2254.6052273695636</v>
      </c>
      <c r="C6" s="81">
        <v>4032.5710558100013</v>
      </c>
      <c r="D6" s="82">
        <v>5042.995782150001</v>
      </c>
      <c r="E6" s="82">
        <v>7086.262509108</v>
      </c>
      <c r="F6" s="83">
        <v>7049.9857501995575</v>
      </c>
      <c r="G6" s="83">
        <v>8738</v>
      </c>
      <c r="H6" s="83">
        <v>8675.368254107274</v>
      </c>
      <c r="I6" s="83">
        <v>9138.379076818128</v>
      </c>
      <c r="J6" s="84">
        <v>9893.4920724906</v>
      </c>
      <c r="K6" s="83">
        <v>10148.932411263826</v>
      </c>
      <c r="L6" s="85">
        <v>10256.641407161713</v>
      </c>
      <c r="M6" s="83">
        <v>10161.341</v>
      </c>
      <c r="N6" s="83">
        <v>10632.769927725893</v>
      </c>
      <c r="O6" s="83">
        <v>11104.827777918392</v>
      </c>
      <c r="P6" s="85">
        <v>11097.709981347612</v>
      </c>
      <c r="Q6" s="83">
        <v>11599.266245896386</v>
      </c>
      <c r="R6" s="373"/>
    </row>
    <row r="7" spans="1:18" ht="12.75">
      <c r="A7" s="80" t="s">
        <v>17</v>
      </c>
      <c r="B7" s="87">
        <f>SUM(B3:B6)</f>
        <v>19768.42930004235</v>
      </c>
      <c r="C7" s="87">
        <v>26441.87425589</v>
      </c>
      <c r="D7" s="82">
        <v>31827.251211439994</v>
      </c>
      <c r="E7" s="82">
        <v>38259.54360836199</v>
      </c>
      <c r="F7" s="83">
        <v>42275.403337128</v>
      </c>
      <c r="G7" s="83">
        <v>53198</v>
      </c>
      <c r="H7" s="83">
        <v>57282.542873377715</v>
      </c>
      <c r="I7" s="83">
        <v>61353.005284693805</v>
      </c>
      <c r="J7" s="86">
        <f>SUM(J3:J6)</f>
        <v>66301.62249057213</v>
      </c>
      <c r="K7" s="83">
        <f>SUM(K3:K6)</f>
        <v>71374.44672644092</v>
      </c>
      <c r="L7" s="83">
        <f>SUM(L3:L6)</f>
        <v>71544.5283078486</v>
      </c>
      <c r="M7" s="83">
        <f>SUM(M3:M6)</f>
        <v>71406.04699999999</v>
      </c>
      <c r="N7" s="82">
        <f>SUM(N3:N6)</f>
        <v>66868.98531837373</v>
      </c>
      <c r="O7" s="83">
        <v>68803.18957949599</v>
      </c>
      <c r="P7" s="88">
        <v>70720</v>
      </c>
      <c r="Q7" s="83">
        <v>71661.54741587478</v>
      </c>
      <c r="R7" s="373"/>
    </row>
    <row r="8" spans="1:18" ht="12.75">
      <c r="A8" s="370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73"/>
    </row>
    <row r="9" spans="1:18" ht="12.75">
      <c r="A9" s="370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73"/>
    </row>
    <row r="10" spans="1:18" ht="12.75">
      <c r="A10" s="370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73"/>
    </row>
    <row r="11" spans="1:18" ht="12.75">
      <c r="A11" s="370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73"/>
    </row>
    <row r="12" spans="1:18" ht="12.75">
      <c r="A12" s="370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73"/>
    </row>
    <row r="13" spans="1:18" ht="12.75">
      <c r="A13" s="370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73"/>
    </row>
    <row r="14" spans="1:18" ht="12.75">
      <c r="A14" s="370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373"/>
    </row>
    <row r="15" spans="1:18" ht="12.75">
      <c r="A15" s="370"/>
      <c r="B15" s="42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373"/>
    </row>
    <row r="16" spans="1:26" ht="12.75">
      <c r="A16" s="370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373"/>
      <c r="Y16" s="78"/>
      <c r="Z16" s="423"/>
    </row>
    <row r="17" spans="1:26" ht="12.75">
      <c r="A17" s="370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373"/>
      <c r="Y17" s="78"/>
      <c r="Z17" s="423"/>
    </row>
    <row r="18" spans="1:26" ht="12.75">
      <c r="A18" s="370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373"/>
      <c r="Y18" s="78"/>
      <c r="Z18" s="423"/>
    </row>
    <row r="19" spans="1:26" ht="12.75">
      <c r="A19" s="37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373"/>
      <c r="Y19" s="78"/>
      <c r="Z19" s="423"/>
    </row>
    <row r="20" spans="1:26" ht="12.75">
      <c r="A20" s="370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373"/>
      <c r="Y20" s="2"/>
      <c r="Z20" s="423"/>
    </row>
    <row r="21" spans="1:18" ht="12.75">
      <c r="A21" s="370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73"/>
    </row>
    <row r="22" spans="1:18" ht="12.75">
      <c r="A22" s="37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73"/>
    </row>
    <row r="23" spans="1:18" ht="12.75">
      <c r="A23" s="370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373"/>
    </row>
    <row r="24" spans="1:18" ht="12.75">
      <c r="A24" s="37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373"/>
    </row>
    <row r="25" spans="1:18" ht="12.75">
      <c r="A25" s="370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373"/>
    </row>
    <row r="26" spans="1:18" ht="12.75">
      <c r="A26" s="370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373"/>
    </row>
    <row r="27" spans="1:18" ht="12.75">
      <c r="A27" s="370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373"/>
    </row>
    <row r="28" spans="1:18" ht="12.75">
      <c r="A28" s="370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373"/>
    </row>
    <row r="29" spans="1:18" ht="12.75">
      <c r="A29" s="370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373"/>
    </row>
    <row r="30" spans="1:18" ht="12.75">
      <c r="A30" s="370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373"/>
    </row>
    <row r="31" spans="1:18" ht="12.75">
      <c r="A31" s="370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373"/>
    </row>
    <row r="32" spans="1:18" ht="12.75">
      <c r="A32" s="370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373"/>
    </row>
    <row r="33" spans="1:18" ht="12.75">
      <c r="A33" s="370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373"/>
    </row>
    <row r="34" spans="1:18" ht="12.75">
      <c r="A34" s="370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373"/>
    </row>
    <row r="35" spans="1:18" ht="12.75">
      <c r="A35" s="370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373"/>
    </row>
    <row r="36" spans="1:18" ht="12.75">
      <c r="A36" s="370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373"/>
    </row>
    <row r="37" spans="1:18" ht="12.75">
      <c r="A37" s="370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373"/>
    </row>
    <row r="38" spans="1:18" ht="12.75">
      <c r="A38" s="370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373"/>
    </row>
    <row r="39" spans="1:18" ht="12.75">
      <c r="A39" s="370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373"/>
    </row>
    <row r="40" spans="1:18" ht="12.75">
      <c r="A40" s="370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373"/>
    </row>
    <row r="41" spans="1:18" ht="12.75">
      <c r="A41" s="37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373"/>
    </row>
    <row r="42" spans="1:18" ht="12.75">
      <c r="A42" s="37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373"/>
    </row>
    <row r="43" spans="1:18" ht="12.75">
      <c r="A43" s="370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73"/>
    </row>
    <row r="44" spans="1:18" ht="12.75">
      <c r="A44" s="424"/>
      <c r="B44" s="425"/>
      <c r="C44" s="425"/>
      <c r="D44" s="425"/>
      <c r="E44" s="425"/>
      <c r="F44" s="425"/>
      <c r="G44" s="425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6"/>
    </row>
    <row r="46" spans="14:16" ht="12.75">
      <c r="N46" s="1102" t="s">
        <v>443</v>
      </c>
      <c r="O46" s="1102"/>
      <c r="P46" s="1102"/>
    </row>
  </sheetData>
  <sheetProtection/>
  <mergeCells count="2">
    <mergeCell ref="A1:Q1"/>
    <mergeCell ref="N46:P46"/>
  </mergeCells>
  <printOptions/>
  <pageMargins left="0.25" right="0.25" top="0.75" bottom="0.75" header="0.3" footer="0.3"/>
  <pageSetup orientation="landscape" scale="8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77"/>
  <sheetViews>
    <sheetView view="pageBreakPreview" zoomScaleSheetLayoutView="100" zoomScalePageLayoutView="0" workbookViewId="0" topLeftCell="A21">
      <selection activeCell="O49" sqref="O49"/>
    </sheetView>
  </sheetViews>
  <sheetFormatPr defaultColWidth="9.140625" defaultRowHeight="15"/>
  <cols>
    <col min="1" max="1" width="9.8515625" style="1" bestFit="1" customWidth="1"/>
    <col min="2" max="13" width="8.7109375" style="1" customWidth="1"/>
    <col min="14" max="14" width="6.00390625" style="1" bestFit="1" customWidth="1"/>
    <col min="15" max="16384" width="9.140625" style="1" customWidth="1"/>
  </cols>
  <sheetData>
    <row r="1" spans="1:16" ht="30" customHeight="1" thickBot="1">
      <c r="A1" s="1265" t="s">
        <v>780</v>
      </c>
      <c r="B1" s="1265"/>
      <c r="C1" s="1265"/>
      <c r="D1" s="1265"/>
      <c r="E1" s="1265"/>
      <c r="F1" s="1265"/>
      <c r="G1" s="1265"/>
      <c r="H1" s="1265"/>
      <c r="I1" s="1265"/>
      <c r="J1" s="1265"/>
      <c r="K1" s="1265"/>
      <c r="L1" s="1265"/>
      <c r="M1" s="1265"/>
      <c r="N1" s="858"/>
      <c r="O1" s="855"/>
      <c r="P1" s="855"/>
    </row>
    <row r="2" spans="1:14" ht="13.5" customHeight="1">
      <c r="A2" s="1266" t="s">
        <v>781</v>
      </c>
      <c r="B2" s="1267"/>
      <c r="C2" s="1267"/>
      <c r="D2" s="1267"/>
      <c r="E2" s="1267"/>
      <c r="F2" s="1267"/>
      <c r="G2" s="1267"/>
      <c r="H2" s="1267"/>
      <c r="I2" s="1267"/>
      <c r="J2" s="1267"/>
      <c r="K2" s="1267"/>
      <c r="L2" s="1267"/>
      <c r="M2" s="1268"/>
      <c r="N2" s="851"/>
    </row>
    <row r="3" spans="1:13" ht="10.5" customHeight="1">
      <c r="A3" s="384"/>
      <c r="B3" s="385" t="s">
        <v>5</v>
      </c>
      <c r="C3" s="385" t="s">
        <v>6</v>
      </c>
      <c r="D3" s="385" t="s">
        <v>7</v>
      </c>
      <c r="E3" s="385" t="s">
        <v>18</v>
      </c>
      <c r="F3" s="385" t="s">
        <v>9</v>
      </c>
      <c r="G3" s="385" t="s">
        <v>10</v>
      </c>
      <c r="H3" s="258" t="s">
        <v>11</v>
      </c>
      <c r="I3" s="258" t="s">
        <v>12</v>
      </c>
      <c r="J3" s="258" t="s">
        <v>13</v>
      </c>
      <c r="K3" s="258" t="s">
        <v>14</v>
      </c>
      <c r="L3" s="258" t="s">
        <v>15</v>
      </c>
      <c r="M3" s="386" t="s">
        <v>16</v>
      </c>
    </row>
    <row r="4" spans="1:13" ht="10.5" customHeight="1">
      <c r="A4" s="387">
        <v>2009</v>
      </c>
      <c r="B4" s="258">
        <v>40.75</v>
      </c>
      <c r="C4" s="258">
        <v>37.05</v>
      </c>
      <c r="D4" s="258">
        <v>38.05</v>
      </c>
      <c r="E4" s="258">
        <v>32.93</v>
      </c>
      <c r="F4" s="258">
        <v>33.44</v>
      </c>
      <c r="G4" s="258">
        <v>30.75</v>
      </c>
      <c r="H4" s="388">
        <v>32.59650795211419</v>
      </c>
      <c r="I4" s="388">
        <v>30.196527952172257</v>
      </c>
      <c r="J4" s="388">
        <v>25.340533753105067</v>
      </c>
      <c r="K4" s="388">
        <v>30.66508725887651</v>
      </c>
      <c r="L4" s="388">
        <v>33.435505798541485</v>
      </c>
      <c r="M4" s="389">
        <v>36.891545287020726</v>
      </c>
    </row>
    <row r="5" spans="1:13" ht="10.5" customHeight="1">
      <c r="A5" s="387">
        <v>2010</v>
      </c>
      <c r="B5" s="388">
        <v>38.615324811513496</v>
      </c>
      <c r="C5" s="388">
        <v>35.41174848363522</v>
      </c>
      <c r="D5" s="388">
        <v>36.90203104331665</v>
      </c>
      <c r="E5" s="388">
        <v>31.374671250202425</v>
      </c>
      <c r="F5" s="388">
        <v>35.16501079346174</v>
      </c>
      <c r="G5" s="258">
        <v>31.45</v>
      </c>
      <c r="H5" s="388">
        <v>26.94</v>
      </c>
      <c r="I5" s="388">
        <v>29.69</v>
      </c>
      <c r="J5" s="258">
        <v>21.47</v>
      </c>
      <c r="K5" s="258">
        <v>20.61</v>
      </c>
      <c r="L5" s="258">
        <v>22.16</v>
      </c>
      <c r="M5" s="386">
        <v>29.05</v>
      </c>
    </row>
    <row r="6" spans="1:13" ht="10.5" customHeight="1">
      <c r="A6" s="387">
        <v>2011</v>
      </c>
      <c r="B6" s="388">
        <v>55.549150063216004</v>
      </c>
      <c r="C6" s="388">
        <v>38.000839523800565</v>
      </c>
      <c r="D6" s="388">
        <v>36.94775395240158</v>
      </c>
      <c r="E6" s="388">
        <v>23.11279690555411</v>
      </c>
      <c r="F6" s="388">
        <v>24.847225225824694</v>
      </c>
      <c r="G6" s="388">
        <v>21.287796970259652</v>
      </c>
      <c r="H6" s="388">
        <v>21.880896331827508</v>
      </c>
      <c r="I6" s="258">
        <v>19.41</v>
      </c>
      <c r="J6" s="388">
        <v>22.95</v>
      </c>
      <c r="K6" s="388">
        <v>25.15</v>
      </c>
      <c r="L6" s="388">
        <v>32.2</v>
      </c>
      <c r="M6" s="389">
        <v>35.7</v>
      </c>
    </row>
    <row r="7" spans="1:13" ht="10.5" customHeight="1">
      <c r="A7" s="387">
        <v>2012</v>
      </c>
      <c r="B7" s="388">
        <v>35.72</v>
      </c>
      <c r="C7" s="388">
        <v>59.156919891655654</v>
      </c>
      <c r="D7" s="388">
        <v>55.22712577598654</v>
      </c>
      <c r="E7" s="388">
        <v>45.414629612417514</v>
      </c>
      <c r="F7" s="388">
        <v>38.872264357601935</v>
      </c>
      <c r="G7" s="388">
        <v>39.767991293037085</v>
      </c>
      <c r="H7" s="388">
        <v>45.5058498075191</v>
      </c>
      <c r="I7" s="390">
        <f>0.455121955731503*100</f>
        <v>45.5121955731503</v>
      </c>
      <c r="J7" s="388">
        <v>42.09</v>
      </c>
      <c r="K7" s="388">
        <v>35.53</v>
      </c>
      <c r="L7" s="388">
        <v>41.89</v>
      </c>
      <c r="M7" s="386">
        <v>49.32</v>
      </c>
    </row>
    <row r="8" spans="1:13" ht="10.5" customHeight="1">
      <c r="A8" s="387">
        <v>2013</v>
      </c>
      <c r="B8" s="388">
        <v>51.12</v>
      </c>
      <c r="C8" s="388">
        <v>48.71</v>
      </c>
      <c r="D8" s="388">
        <v>48.29</v>
      </c>
      <c r="E8" s="388">
        <v>39.66</v>
      </c>
      <c r="F8" s="388">
        <v>39.52</v>
      </c>
      <c r="G8" s="388">
        <v>40.33</v>
      </c>
      <c r="H8" s="388">
        <v>43.33</v>
      </c>
      <c r="I8" s="390">
        <v>38.5</v>
      </c>
      <c r="J8" s="388">
        <v>35.08</v>
      </c>
      <c r="K8" s="388">
        <v>45.98</v>
      </c>
      <c r="L8" s="388">
        <v>48.08</v>
      </c>
      <c r="M8" s="386">
        <v>53.04</v>
      </c>
    </row>
    <row r="9" spans="1:13" ht="10.5" customHeight="1">
      <c r="A9" s="387">
        <v>2014</v>
      </c>
      <c r="B9" s="388">
        <v>47</v>
      </c>
      <c r="C9" s="388">
        <v>42.14</v>
      </c>
      <c r="D9" s="388">
        <v>42.78</v>
      </c>
      <c r="E9" s="388">
        <v>35.69</v>
      </c>
      <c r="F9" s="388">
        <v>36.85</v>
      </c>
      <c r="G9" s="388">
        <v>34.1</v>
      </c>
      <c r="H9" s="388">
        <v>36.59</v>
      </c>
      <c r="I9" s="390">
        <v>36.36</v>
      </c>
      <c r="J9" s="388">
        <v>31.67</v>
      </c>
      <c r="K9" s="388">
        <v>34.52</v>
      </c>
      <c r="L9" s="388">
        <v>32.88</v>
      </c>
      <c r="M9" s="386">
        <v>37.54</v>
      </c>
    </row>
    <row r="10" spans="1:13" ht="10.5" customHeight="1">
      <c r="A10" s="387">
        <v>2015</v>
      </c>
      <c r="B10" s="388">
        <v>36.68</v>
      </c>
      <c r="C10" s="388">
        <v>31.82</v>
      </c>
      <c r="D10" s="388">
        <v>32.88</v>
      </c>
      <c r="E10" s="388">
        <v>30.54</v>
      </c>
      <c r="F10" s="388">
        <v>31.24</v>
      </c>
      <c r="G10" s="388">
        <v>28.6</v>
      </c>
      <c r="H10" s="388">
        <v>30.62</v>
      </c>
      <c r="I10" s="390">
        <v>29.29</v>
      </c>
      <c r="J10" s="388">
        <v>25.3</v>
      </c>
      <c r="K10" s="388">
        <v>29.92</v>
      </c>
      <c r="L10" s="388">
        <v>30.82</v>
      </c>
      <c r="M10" s="386">
        <v>34.5</v>
      </c>
    </row>
    <row r="11" spans="1:14" ht="10.5" customHeight="1" thickBot="1">
      <c r="A11" s="391">
        <v>2016</v>
      </c>
      <c r="B11" s="392">
        <v>34.69</v>
      </c>
      <c r="C11" s="392">
        <v>29</v>
      </c>
      <c r="D11" s="392">
        <v>29.93</v>
      </c>
      <c r="E11" s="392">
        <v>26.07</v>
      </c>
      <c r="F11" s="392">
        <v>26.97</v>
      </c>
      <c r="G11" s="392">
        <v>24.35</v>
      </c>
      <c r="H11" s="392">
        <v>25.97</v>
      </c>
      <c r="I11" s="393">
        <v>25.15</v>
      </c>
      <c r="J11" s="392">
        <v>22.12</v>
      </c>
      <c r="K11" s="392">
        <v>27.11</v>
      </c>
      <c r="L11" s="392">
        <v>29.3</v>
      </c>
      <c r="M11" s="394">
        <v>30.99</v>
      </c>
      <c r="N11" s="1">
        <v>28.04</v>
      </c>
    </row>
    <row r="12" spans="1:14" ht="10.5" customHeight="1" thickBot="1">
      <c r="A12" s="391">
        <v>2017</v>
      </c>
      <c r="B12" s="395">
        <v>33.5</v>
      </c>
      <c r="C12" s="395">
        <v>27.63</v>
      </c>
      <c r="D12" s="395">
        <v>28.66</v>
      </c>
      <c r="E12" s="395">
        <v>25.81</v>
      </c>
      <c r="F12" s="395">
        <v>25.88</v>
      </c>
      <c r="G12" s="395">
        <v>28.31</v>
      </c>
      <c r="H12" s="395">
        <v>24.69</v>
      </c>
      <c r="I12" s="396">
        <v>23.29</v>
      </c>
      <c r="J12" s="392"/>
      <c r="K12" s="392"/>
      <c r="L12" s="392"/>
      <c r="M12" s="394"/>
      <c r="N12" s="51">
        <v>27.48</v>
      </c>
    </row>
    <row r="13" spans="1:13" ht="10.5" customHeight="1" thickBot="1">
      <c r="A13" s="2"/>
      <c r="B13" s="3"/>
      <c r="C13" s="3"/>
      <c r="D13" s="3"/>
      <c r="E13" s="3"/>
      <c r="F13" s="3"/>
      <c r="G13" s="3"/>
      <c r="H13" s="3"/>
      <c r="I13" s="4"/>
      <c r="J13" s="3"/>
      <c r="K13" s="3"/>
      <c r="L13" s="3"/>
      <c r="M13" s="2"/>
    </row>
    <row r="14" spans="1:13" ht="12.75" customHeight="1">
      <c r="A14" s="1269" t="s">
        <v>782</v>
      </c>
      <c r="B14" s="1270"/>
      <c r="C14" s="1270"/>
      <c r="D14" s="1270"/>
      <c r="E14" s="1270"/>
      <c r="F14" s="1270"/>
      <c r="G14" s="1270"/>
      <c r="H14" s="1270"/>
      <c r="I14" s="1270"/>
      <c r="J14" s="1270"/>
      <c r="K14" s="1270"/>
      <c r="L14" s="1270"/>
      <c r="M14" s="1271"/>
    </row>
    <row r="15" spans="1:13" ht="10.5" customHeight="1">
      <c r="A15" s="397"/>
      <c r="B15" s="385" t="s">
        <v>5</v>
      </c>
      <c r="C15" s="385" t="s">
        <v>6</v>
      </c>
      <c r="D15" s="385" t="s">
        <v>7</v>
      </c>
      <c r="E15" s="385" t="s">
        <v>18</v>
      </c>
      <c r="F15" s="385" t="s">
        <v>9</v>
      </c>
      <c r="G15" s="385" t="s">
        <v>10</v>
      </c>
      <c r="H15" s="258" t="s">
        <v>11</v>
      </c>
      <c r="I15" s="258" t="s">
        <v>12</v>
      </c>
      <c r="J15" s="258" t="s">
        <v>13</v>
      </c>
      <c r="K15" s="258" t="s">
        <v>14</v>
      </c>
      <c r="L15" s="258" t="s">
        <v>15</v>
      </c>
      <c r="M15" s="386" t="s">
        <v>16</v>
      </c>
    </row>
    <row r="16" spans="1:13" ht="10.5" customHeight="1">
      <c r="A16" s="387">
        <v>2009</v>
      </c>
      <c r="B16" s="398">
        <v>69.32</v>
      </c>
      <c r="C16" s="398">
        <v>85.95</v>
      </c>
      <c r="D16" s="398">
        <v>74.38</v>
      </c>
      <c r="E16" s="398">
        <v>86.58</v>
      </c>
      <c r="F16" s="398">
        <v>86.31</v>
      </c>
      <c r="G16" s="398">
        <v>76.37</v>
      </c>
      <c r="H16" s="398">
        <v>75.4</v>
      </c>
      <c r="I16" s="398">
        <v>72.46</v>
      </c>
      <c r="J16" s="398">
        <v>83.2</v>
      </c>
      <c r="K16" s="398">
        <v>80.82</v>
      </c>
      <c r="L16" s="398">
        <v>61.77</v>
      </c>
      <c r="M16" s="399">
        <v>70.01</v>
      </c>
    </row>
    <row r="17" spans="1:13" ht="10.5" customHeight="1">
      <c r="A17" s="387">
        <v>2010</v>
      </c>
      <c r="B17" s="398">
        <v>55.37</v>
      </c>
      <c r="C17" s="398">
        <v>66.28</v>
      </c>
      <c r="D17" s="398">
        <v>86.63</v>
      </c>
      <c r="E17" s="398">
        <v>89.46</v>
      </c>
      <c r="F17" s="398">
        <v>86.7</v>
      </c>
      <c r="G17" s="398">
        <v>79.42</v>
      </c>
      <c r="H17" s="398">
        <v>74.84</v>
      </c>
      <c r="I17" s="398">
        <v>124.98</v>
      </c>
      <c r="J17" s="398">
        <v>84.2</v>
      </c>
      <c r="K17" s="398">
        <v>70.81</v>
      </c>
      <c r="L17" s="398">
        <v>56.15</v>
      </c>
      <c r="M17" s="399">
        <v>66.48</v>
      </c>
    </row>
    <row r="18" spans="1:13" ht="10.5" customHeight="1">
      <c r="A18" s="387">
        <v>2011</v>
      </c>
      <c r="B18" s="398">
        <v>67.26</v>
      </c>
      <c r="C18" s="398">
        <v>57.61</v>
      </c>
      <c r="D18" s="398">
        <v>87.66</v>
      </c>
      <c r="E18" s="398">
        <v>71.61</v>
      </c>
      <c r="F18" s="398">
        <v>96.73</v>
      </c>
      <c r="G18" s="398">
        <v>73</v>
      </c>
      <c r="H18" s="398">
        <v>65</v>
      </c>
      <c r="I18" s="398">
        <v>81</v>
      </c>
      <c r="J18" s="398">
        <v>66</v>
      </c>
      <c r="K18" s="398">
        <v>63.86</v>
      </c>
      <c r="L18" s="398">
        <v>51.47</v>
      </c>
      <c r="M18" s="399">
        <v>87.3</v>
      </c>
    </row>
    <row r="19" spans="1:13" ht="10.5" customHeight="1">
      <c r="A19" s="387">
        <v>2012</v>
      </c>
      <c r="B19" s="398">
        <v>59.8</v>
      </c>
      <c r="C19" s="398">
        <v>79.2</v>
      </c>
      <c r="D19" s="398">
        <v>78.5</v>
      </c>
      <c r="E19" s="398">
        <v>78</v>
      </c>
      <c r="F19" s="398">
        <v>94.7</v>
      </c>
      <c r="G19" s="398">
        <v>83.5</v>
      </c>
      <c r="H19" s="398">
        <v>91.6</v>
      </c>
      <c r="I19" s="398">
        <v>102.9</v>
      </c>
      <c r="J19" s="398">
        <v>74</v>
      </c>
      <c r="K19" s="398">
        <v>98</v>
      </c>
      <c r="L19" s="398">
        <v>72.6</v>
      </c>
      <c r="M19" s="399">
        <v>78</v>
      </c>
    </row>
    <row r="20" spans="1:16" ht="10.5" customHeight="1">
      <c r="A20" s="387">
        <v>2013</v>
      </c>
      <c r="B20" s="398">
        <v>61.4</v>
      </c>
      <c r="C20" s="398">
        <v>63.7</v>
      </c>
      <c r="D20" s="398">
        <v>86.2</v>
      </c>
      <c r="E20" s="398">
        <v>80.7</v>
      </c>
      <c r="F20" s="398">
        <v>79.1</v>
      </c>
      <c r="G20" s="398">
        <v>69.6</v>
      </c>
      <c r="H20" s="398">
        <v>87.9</v>
      </c>
      <c r="I20" s="398">
        <v>90.1</v>
      </c>
      <c r="J20" s="398">
        <v>78.5</v>
      </c>
      <c r="K20" s="398">
        <v>84.3</v>
      </c>
      <c r="L20" s="400">
        <v>89</v>
      </c>
      <c r="M20" s="401">
        <v>102</v>
      </c>
      <c r="N20" s="402"/>
      <c r="O20" s="402"/>
      <c r="P20" s="402"/>
    </row>
    <row r="21" spans="1:13" ht="10.5" customHeight="1">
      <c r="A21" s="387">
        <v>2014</v>
      </c>
      <c r="B21" s="400">
        <v>84.9</v>
      </c>
      <c r="C21" s="400">
        <v>77.1</v>
      </c>
      <c r="D21" s="400">
        <v>85.9</v>
      </c>
      <c r="E21" s="388">
        <v>85.5</v>
      </c>
      <c r="F21" s="388">
        <v>81.9</v>
      </c>
      <c r="G21" s="388">
        <v>80.2</v>
      </c>
      <c r="H21" s="388">
        <v>86.7</v>
      </c>
      <c r="I21" s="403">
        <v>83.6</v>
      </c>
      <c r="J21" s="388">
        <v>102.6</v>
      </c>
      <c r="K21" s="388">
        <v>101</v>
      </c>
      <c r="L21" s="388">
        <v>101.9</v>
      </c>
      <c r="M21" s="399">
        <v>141</v>
      </c>
    </row>
    <row r="22" spans="1:13" ht="10.5" customHeight="1">
      <c r="A22" s="387">
        <v>2015</v>
      </c>
      <c r="B22" s="400">
        <v>112.7</v>
      </c>
      <c r="C22" s="400">
        <v>120.5</v>
      </c>
      <c r="D22" s="400">
        <v>103.7</v>
      </c>
      <c r="E22" s="388">
        <v>86.6</v>
      </c>
      <c r="F22" s="388">
        <v>95.7</v>
      </c>
      <c r="G22" s="388">
        <v>97.1</v>
      </c>
      <c r="H22" s="388">
        <v>98.4</v>
      </c>
      <c r="I22" s="403">
        <v>104.7</v>
      </c>
      <c r="J22" s="388">
        <v>95.3</v>
      </c>
      <c r="K22" s="388">
        <v>100.3</v>
      </c>
      <c r="L22" s="388">
        <v>92.2</v>
      </c>
      <c r="M22" s="399">
        <v>100.7</v>
      </c>
    </row>
    <row r="23" spans="1:14" ht="10.5" customHeight="1" thickBot="1">
      <c r="A23" s="391">
        <v>2016</v>
      </c>
      <c r="B23" s="404">
        <v>92.1</v>
      </c>
      <c r="C23" s="404">
        <v>87</v>
      </c>
      <c r="D23" s="404">
        <v>95.6</v>
      </c>
      <c r="E23" s="392">
        <v>90.1</v>
      </c>
      <c r="F23" s="392">
        <v>99.1</v>
      </c>
      <c r="G23" s="392">
        <v>92</v>
      </c>
      <c r="H23" s="392">
        <v>94.2</v>
      </c>
      <c r="I23" s="405">
        <v>96.7</v>
      </c>
      <c r="J23" s="392">
        <v>91.5</v>
      </c>
      <c r="K23" s="392">
        <v>96.7</v>
      </c>
      <c r="L23" s="392">
        <v>90.3</v>
      </c>
      <c r="M23" s="406">
        <v>96.7</v>
      </c>
      <c r="N23" s="1">
        <v>93.4</v>
      </c>
    </row>
    <row r="24" spans="1:14" ht="10.5" customHeight="1" thickBot="1">
      <c r="A24" s="391">
        <v>2017</v>
      </c>
      <c r="B24" s="407">
        <v>85.2</v>
      </c>
      <c r="C24" s="407">
        <v>87.6</v>
      </c>
      <c r="D24" s="407">
        <v>105.7</v>
      </c>
      <c r="E24" s="395">
        <v>94.5</v>
      </c>
      <c r="F24" s="395">
        <v>105.7</v>
      </c>
      <c r="G24" s="395">
        <v>91.8</v>
      </c>
      <c r="H24" s="395">
        <v>104.8</v>
      </c>
      <c r="I24" s="408">
        <v>97.4</v>
      </c>
      <c r="J24" s="392"/>
      <c r="K24" s="392"/>
      <c r="L24" s="392"/>
      <c r="M24" s="406"/>
      <c r="N24" s="77">
        <v>96</v>
      </c>
    </row>
    <row r="25" spans="1:13" ht="10.5" customHeight="1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3.5" customHeight="1">
      <c r="A26" s="1272" t="s">
        <v>783</v>
      </c>
      <c r="B26" s="1273"/>
      <c r="C26" s="1273"/>
      <c r="D26" s="1273"/>
      <c r="E26" s="1273"/>
      <c r="F26" s="1273"/>
      <c r="G26" s="1273"/>
      <c r="H26" s="1273"/>
      <c r="I26" s="1273"/>
      <c r="J26" s="1273"/>
      <c r="K26" s="1273"/>
      <c r="L26" s="1273"/>
      <c r="M26" s="1274"/>
    </row>
    <row r="27" spans="1:13" ht="10.5" customHeight="1">
      <c r="A27" s="397"/>
      <c r="B27" s="385" t="s">
        <v>5</v>
      </c>
      <c r="C27" s="385" t="s">
        <v>6</v>
      </c>
      <c r="D27" s="385" t="s">
        <v>7</v>
      </c>
      <c r="E27" s="385" t="s">
        <v>18</v>
      </c>
      <c r="F27" s="385" t="s">
        <v>9</v>
      </c>
      <c r="G27" s="385" t="s">
        <v>10</v>
      </c>
      <c r="H27" s="258" t="s">
        <v>11</v>
      </c>
      <c r="I27" s="258" t="s">
        <v>12</v>
      </c>
      <c r="J27" s="258" t="s">
        <v>13</v>
      </c>
      <c r="K27" s="258" t="s">
        <v>14</v>
      </c>
      <c r="L27" s="258" t="s">
        <v>15</v>
      </c>
      <c r="M27" s="386" t="s">
        <v>16</v>
      </c>
    </row>
    <row r="28" spans="1:13" ht="10.5" customHeight="1">
      <c r="A28" s="387">
        <v>2009</v>
      </c>
      <c r="B28" s="409">
        <f aca="true" t="shared" si="0" ref="B28:M28">(1-B4/100)*B16/100</f>
        <v>0.410721</v>
      </c>
      <c r="C28" s="409">
        <f t="shared" si="0"/>
        <v>0.54105525</v>
      </c>
      <c r="D28" s="409">
        <f t="shared" si="0"/>
        <v>0.4607841</v>
      </c>
      <c r="E28" s="409">
        <f t="shared" si="0"/>
        <v>0.5806920600000001</v>
      </c>
      <c r="F28" s="409">
        <f t="shared" si="0"/>
        <v>0.57447936</v>
      </c>
      <c r="G28" s="409">
        <f t="shared" si="0"/>
        <v>0.52886225</v>
      </c>
      <c r="H28" s="409">
        <f t="shared" si="0"/>
        <v>0.508222330041059</v>
      </c>
      <c r="I28" s="409">
        <f t="shared" si="0"/>
        <v>0.5057959584585597</v>
      </c>
      <c r="J28" s="409">
        <f t="shared" si="0"/>
        <v>0.6211667591741659</v>
      </c>
      <c r="K28" s="409">
        <f t="shared" si="0"/>
        <v>0.56036476477376</v>
      </c>
      <c r="L28" s="409">
        <f t="shared" si="0"/>
        <v>0.41116888068240925</v>
      </c>
      <c r="M28" s="410">
        <f t="shared" si="0"/>
        <v>0.44182229144556795</v>
      </c>
    </row>
    <row r="29" spans="1:13" ht="10.5" customHeight="1">
      <c r="A29" s="387">
        <v>2010</v>
      </c>
      <c r="B29" s="409">
        <f aca="true" t="shared" si="1" ref="B29:M29">(1-B5/100)*B17/100</f>
        <v>0.33988694651864976</v>
      </c>
      <c r="C29" s="409">
        <f t="shared" si="1"/>
        <v>0.4280909310504658</v>
      </c>
      <c r="D29" s="409">
        <f t="shared" si="1"/>
        <v>0.5466177050717479</v>
      </c>
      <c r="E29" s="409">
        <f t="shared" si="1"/>
        <v>0.613922190995689</v>
      </c>
      <c r="F29" s="409">
        <f t="shared" si="1"/>
        <v>0.5621193564206868</v>
      </c>
      <c r="G29" s="409">
        <f t="shared" si="1"/>
        <v>0.5444241000000001</v>
      </c>
      <c r="H29" s="409">
        <f t="shared" si="1"/>
        <v>0.5467810399999999</v>
      </c>
      <c r="I29" s="409">
        <f t="shared" si="1"/>
        <v>0.87873438</v>
      </c>
      <c r="J29" s="409">
        <f t="shared" si="1"/>
        <v>0.6612226</v>
      </c>
      <c r="K29" s="409">
        <f t="shared" si="1"/>
        <v>0.5621605900000001</v>
      </c>
      <c r="L29" s="409">
        <f t="shared" si="1"/>
        <v>0.43707159999999995</v>
      </c>
      <c r="M29" s="410">
        <f t="shared" si="1"/>
        <v>0.47167560000000003</v>
      </c>
    </row>
    <row r="30" spans="1:13" ht="10.5" customHeight="1">
      <c r="A30" s="387">
        <v>2011</v>
      </c>
      <c r="B30" s="409">
        <f aca="true" t="shared" si="2" ref="B30:M30">(1-B6/100)*B18/100</f>
        <v>0.2989764166748092</v>
      </c>
      <c r="C30" s="409">
        <f t="shared" si="2"/>
        <v>0.3571771635033849</v>
      </c>
      <c r="D30" s="409">
        <f t="shared" si="2"/>
        <v>0.5527159888532478</v>
      </c>
      <c r="E30" s="409">
        <f t="shared" si="2"/>
        <v>0.5505892613593271</v>
      </c>
      <c r="F30" s="409">
        <f t="shared" si="2"/>
        <v>0.7269527903905977</v>
      </c>
      <c r="G30" s="409">
        <f t="shared" si="2"/>
        <v>0.5745990821171045</v>
      </c>
      <c r="H30" s="409">
        <f t="shared" si="2"/>
        <v>0.5077741738431212</v>
      </c>
      <c r="I30" s="409">
        <f t="shared" si="2"/>
        <v>0.652779</v>
      </c>
      <c r="J30" s="409">
        <f t="shared" si="2"/>
        <v>0.5085299999999999</v>
      </c>
      <c r="K30" s="409">
        <f t="shared" si="2"/>
        <v>0.4779921</v>
      </c>
      <c r="L30" s="409">
        <f t="shared" si="2"/>
        <v>0.34896659999999996</v>
      </c>
      <c r="M30" s="410">
        <f t="shared" si="2"/>
        <v>0.5613389999999999</v>
      </c>
    </row>
    <row r="31" spans="1:13" ht="10.5" customHeight="1">
      <c r="A31" s="387">
        <v>2012</v>
      </c>
      <c r="B31" s="409">
        <f aca="true" t="shared" si="3" ref="B31:M31">(1-B7/100)*B19/100</f>
        <v>0.38439439999999997</v>
      </c>
      <c r="C31" s="409">
        <f t="shared" si="3"/>
        <v>0.3234771944580872</v>
      </c>
      <c r="D31" s="409">
        <f t="shared" si="3"/>
        <v>0.3514670626585057</v>
      </c>
      <c r="E31" s="409">
        <f t="shared" si="3"/>
        <v>0.42576588902314344</v>
      </c>
      <c r="F31" s="409">
        <f t="shared" si="3"/>
        <v>0.5788796565335097</v>
      </c>
      <c r="G31" s="409">
        <f t="shared" si="3"/>
        <v>0.5029372727031404</v>
      </c>
      <c r="H31" s="409">
        <f t="shared" si="3"/>
        <v>0.4991664157631249</v>
      </c>
      <c r="I31" s="409">
        <f t="shared" si="3"/>
        <v>0.5606795075522836</v>
      </c>
      <c r="J31" s="409">
        <f t="shared" si="3"/>
        <v>0.4285339999999999</v>
      </c>
      <c r="K31" s="409">
        <f t="shared" si="3"/>
        <v>0.6318060000000001</v>
      </c>
      <c r="L31" s="409">
        <f t="shared" si="3"/>
        <v>0.42187859999999994</v>
      </c>
      <c r="M31" s="410">
        <f t="shared" si="3"/>
        <v>0.39530399999999993</v>
      </c>
    </row>
    <row r="32" spans="1:13" ht="10.5" customHeight="1">
      <c r="A32" s="387">
        <v>2013</v>
      </c>
      <c r="B32" s="409">
        <f aca="true" t="shared" si="4" ref="B32:M32">(1-B8/100)*B20/100</f>
        <v>0.3001232</v>
      </c>
      <c r="C32" s="409">
        <f t="shared" si="4"/>
        <v>0.3267173</v>
      </c>
      <c r="D32" s="409">
        <f t="shared" si="4"/>
        <v>0.44574020000000003</v>
      </c>
      <c r="E32" s="409">
        <f t="shared" si="4"/>
        <v>0.48694380000000004</v>
      </c>
      <c r="F32" s="409">
        <f t="shared" si="4"/>
        <v>0.47839679999999996</v>
      </c>
      <c r="G32" s="409">
        <f t="shared" si="4"/>
        <v>0.4153032</v>
      </c>
      <c r="H32" s="409">
        <f t="shared" si="4"/>
        <v>0.4981293</v>
      </c>
      <c r="I32" s="409">
        <f t="shared" si="4"/>
        <v>0.5541149999999999</v>
      </c>
      <c r="J32" s="409">
        <f t="shared" si="4"/>
        <v>0.509622</v>
      </c>
      <c r="K32" s="409">
        <f t="shared" si="4"/>
        <v>0.4553886</v>
      </c>
      <c r="L32" s="409">
        <f t="shared" si="4"/>
        <v>0.46208799999999994</v>
      </c>
      <c r="M32" s="410">
        <f t="shared" si="4"/>
        <v>0.47899200000000003</v>
      </c>
    </row>
    <row r="33" spans="1:13" ht="10.5" customHeight="1">
      <c r="A33" s="387">
        <v>2014</v>
      </c>
      <c r="B33" s="409">
        <f aca="true" t="shared" si="5" ref="B33:M33">(1-B9/100)*B21/100</f>
        <v>0.4499700000000001</v>
      </c>
      <c r="C33" s="409">
        <f t="shared" si="5"/>
        <v>0.44610059999999996</v>
      </c>
      <c r="D33" s="409">
        <f t="shared" si="5"/>
        <v>0.49151980000000006</v>
      </c>
      <c r="E33" s="409">
        <f t="shared" si="5"/>
        <v>0.5498505</v>
      </c>
      <c r="F33" s="409">
        <f t="shared" si="5"/>
        <v>0.5171985</v>
      </c>
      <c r="G33" s="409">
        <f t="shared" si="5"/>
        <v>0.528518</v>
      </c>
      <c r="H33" s="409">
        <f t="shared" si="5"/>
        <v>0.5497646999999999</v>
      </c>
      <c r="I33" s="409">
        <f t="shared" si="5"/>
        <v>0.5320304</v>
      </c>
      <c r="J33" s="409">
        <f t="shared" si="5"/>
        <v>0.7010658</v>
      </c>
      <c r="K33" s="409">
        <f t="shared" si="5"/>
        <v>0.6613479999999999</v>
      </c>
      <c r="L33" s="409">
        <f t="shared" si="5"/>
        <v>0.6839528</v>
      </c>
      <c r="M33" s="410">
        <f t="shared" si="5"/>
        <v>0.8806860000000001</v>
      </c>
    </row>
    <row r="34" spans="1:13" ht="10.5" customHeight="1">
      <c r="A34" s="387">
        <v>2015</v>
      </c>
      <c r="B34" s="409">
        <f aca="true" t="shared" si="6" ref="B34:M34">(1-B10/100)*B22/100</f>
        <v>0.7136163999999999</v>
      </c>
      <c r="C34" s="409">
        <f t="shared" si="6"/>
        <v>0.8215689999999999</v>
      </c>
      <c r="D34" s="409">
        <f t="shared" si="6"/>
        <v>0.6960344</v>
      </c>
      <c r="E34" s="409">
        <f t="shared" si="6"/>
        <v>0.6015235999999999</v>
      </c>
      <c r="F34" s="409">
        <f t="shared" si="6"/>
        <v>0.6580332</v>
      </c>
      <c r="G34" s="409">
        <f t="shared" si="6"/>
        <v>0.693294</v>
      </c>
      <c r="H34" s="409">
        <f t="shared" si="6"/>
        <v>0.6826992</v>
      </c>
      <c r="I34" s="409">
        <f t="shared" si="6"/>
        <v>0.7403337000000001</v>
      </c>
      <c r="J34" s="409">
        <f t="shared" si="6"/>
        <v>0.7118909999999999</v>
      </c>
      <c r="K34" s="409">
        <f t="shared" si="6"/>
        <v>0.7029023999999999</v>
      </c>
      <c r="L34" s="409">
        <f t="shared" si="6"/>
        <v>0.6378396</v>
      </c>
      <c r="M34" s="410">
        <f t="shared" si="6"/>
        <v>0.659585</v>
      </c>
    </row>
    <row r="35" spans="1:13" ht="10.5" customHeight="1" thickBot="1">
      <c r="A35" s="391">
        <v>2016</v>
      </c>
      <c r="B35" s="411">
        <f aca="true" t="shared" si="7" ref="B35:M35">(1-B11/100)*B23/100</f>
        <v>0.6015051</v>
      </c>
      <c r="C35" s="411">
        <f t="shared" si="7"/>
        <v>0.6176999999999999</v>
      </c>
      <c r="D35" s="411">
        <f t="shared" si="7"/>
        <v>0.6698691999999999</v>
      </c>
      <c r="E35" s="411">
        <f t="shared" si="7"/>
        <v>0.6661093</v>
      </c>
      <c r="F35" s="411">
        <f t="shared" si="7"/>
        <v>0.7237272999999999</v>
      </c>
      <c r="G35" s="411">
        <f t="shared" si="7"/>
        <v>0.69598</v>
      </c>
      <c r="H35" s="411">
        <f t="shared" si="7"/>
        <v>0.6973626</v>
      </c>
      <c r="I35" s="411">
        <f t="shared" si="7"/>
        <v>0.7237994999999999</v>
      </c>
      <c r="J35" s="411">
        <f t="shared" si="7"/>
        <v>0.712602</v>
      </c>
      <c r="K35" s="411">
        <f t="shared" si="7"/>
        <v>0.7048462999999999</v>
      </c>
      <c r="L35" s="411">
        <f t="shared" si="7"/>
        <v>0.638421</v>
      </c>
      <c r="M35" s="411">
        <f t="shared" si="7"/>
        <v>0.6673266999999999</v>
      </c>
    </row>
    <row r="36" spans="1:14" ht="10.5" customHeight="1" thickBot="1">
      <c r="A36" s="391">
        <v>2017</v>
      </c>
      <c r="B36" s="412">
        <f aca="true" t="shared" si="8" ref="B36:N36">(1-B12/100)*B24/100</f>
        <v>0.5665800000000001</v>
      </c>
      <c r="C36" s="412">
        <f t="shared" si="8"/>
        <v>0.6339612</v>
      </c>
      <c r="D36" s="412">
        <f t="shared" si="8"/>
        <v>0.7540638</v>
      </c>
      <c r="E36" s="412">
        <f t="shared" si="8"/>
        <v>0.7010955</v>
      </c>
      <c r="F36" s="412">
        <f t="shared" si="8"/>
        <v>0.7834484</v>
      </c>
      <c r="G36" s="412">
        <f t="shared" si="8"/>
        <v>0.6581142000000001</v>
      </c>
      <c r="H36" s="412">
        <f t="shared" si="8"/>
        <v>0.7892488</v>
      </c>
      <c r="I36" s="412">
        <f t="shared" si="8"/>
        <v>0.7471554</v>
      </c>
      <c r="J36" s="411">
        <f t="shared" si="8"/>
        <v>0</v>
      </c>
      <c r="K36" s="411">
        <f t="shared" si="8"/>
        <v>0</v>
      </c>
      <c r="L36" s="411">
        <f t="shared" si="8"/>
        <v>0</v>
      </c>
      <c r="M36" s="411">
        <f t="shared" si="8"/>
        <v>0</v>
      </c>
      <c r="N36" s="412">
        <f t="shared" si="8"/>
        <v>0.696192</v>
      </c>
    </row>
    <row r="37" ht="10.5" customHeight="1"/>
    <row r="38" spans="1:10" ht="10.5" customHeight="1">
      <c r="A38" s="413"/>
      <c r="B38" s="93">
        <v>2009</v>
      </c>
      <c r="C38" s="93">
        <v>2010</v>
      </c>
      <c r="D38" s="93">
        <v>2011</v>
      </c>
      <c r="E38" s="93">
        <v>2012</v>
      </c>
      <c r="F38" s="93">
        <v>2013</v>
      </c>
      <c r="G38" s="93">
        <v>2014</v>
      </c>
      <c r="H38" s="93">
        <v>2015</v>
      </c>
      <c r="I38" s="93">
        <v>2016</v>
      </c>
      <c r="J38" s="414" t="s">
        <v>375</v>
      </c>
    </row>
    <row r="39" spans="1:10" ht="12.75">
      <c r="A39" s="93" t="s">
        <v>784</v>
      </c>
      <c r="B39" s="415">
        <v>76.4</v>
      </c>
      <c r="C39" s="415">
        <v>70.1</v>
      </c>
      <c r="D39" s="415">
        <v>70.7</v>
      </c>
      <c r="E39" s="415">
        <v>83</v>
      </c>
      <c r="F39" s="415">
        <v>79.3</v>
      </c>
      <c r="G39" s="415">
        <v>91.9</v>
      </c>
      <c r="H39" s="415">
        <v>100.8</v>
      </c>
      <c r="I39" s="415">
        <v>93.4</v>
      </c>
      <c r="J39" s="416">
        <v>96</v>
      </c>
    </row>
    <row r="40" spans="1:10" ht="12.75">
      <c r="A40" s="93" t="s">
        <v>785</v>
      </c>
      <c r="B40" s="415">
        <v>34</v>
      </c>
      <c r="C40" s="415">
        <v>30.38</v>
      </c>
      <c r="D40" s="415">
        <v>37.58</v>
      </c>
      <c r="E40" s="415">
        <v>46.38</v>
      </c>
      <c r="F40" s="415">
        <v>45.04</v>
      </c>
      <c r="G40" s="415">
        <v>37.81</v>
      </c>
      <c r="H40" s="415">
        <v>31.34</v>
      </c>
      <c r="I40" s="415">
        <v>28.04</v>
      </c>
      <c r="J40" s="416">
        <v>27.48</v>
      </c>
    </row>
    <row r="41" spans="1:10" ht="12.75">
      <c r="A41" s="93" t="s">
        <v>786</v>
      </c>
      <c r="B41" s="415">
        <v>50.424</v>
      </c>
      <c r="C41" s="415">
        <v>48.80361999999999</v>
      </c>
      <c r="D41" s="415">
        <v>44.13094000000001</v>
      </c>
      <c r="E41" s="415">
        <v>44.5046</v>
      </c>
      <c r="F41" s="415">
        <v>43.58328</v>
      </c>
      <c r="G41" s="415">
        <v>57.152609999999996</v>
      </c>
      <c r="H41" s="415">
        <v>69.20927999999999</v>
      </c>
      <c r="I41" s="415">
        <v>67.21064000000001</v>
      </c>
      <c r="J41" s="416">
        <v>69.6</v>
      </c>
    </row>
    <row r="43" spans="2:9" ht="12.75">
      <c r="B43" s="417"/>
      <c r="C43" s="417"/>
      <c r="D43" s="417"/>
      <c r="E43" s="417"/>
      <c r="F43" s="417"/>
      <c r="G43" s="417"/>
      <c r="H43" s="417"/>
      <c r="I43" s="417"/>
    </row>
    <row r="44" spans="2:9" ht="12.75">
      <c r="B44" s="418"/>
      <c r="C44" s="418"/>
      <c r="D44" s="418"/>
      <c r="E44" s="418"/>
      <c r="F44" s="418"/>
      <c r="G44" s="418"/>
      <c r="H44" s="418"/>
      <c r="I44" s="418"/>
    </row>
    <row r="77" spans="11:13" ht="12.75">
      <c r="K77" s="1102" t="s">
        <v>443</v>
      </c>
      <c r="L77" s="1102"/>
      <c r="M77" s="1102"/>
    </row>
  </sheetData>
  <sheetProtection/>
  <mergeCells count="5">
    <mergeCell ref="A1:M1"/>
    <mergeCell ref="A2:M2"/>
    <mergeCell ref="A14:M14"/>
    <mergeCell ref="A26:M26"/>
    <mergeCell ref="K77:M77"/>
  </mergeCells>
  <printOptions/>
  <pageMargins left="0.25" right="0.25" top="0.75" bottom="0.75" header="0.3" footer="0.3"/>
  <pageSetup orientation="landscape" r:id="rId2"/>
  <rowBreaks count="1" manualBreakCount="1">
    <brk id="36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SheetLayoutView="100" zoomScalePageLayoutView="0" workbookViewId="0" topLeftCell="A1">
      <selection activeCell="Q14" sqref="Q14"/>
    </sheetView>
  </sheetViews>
  <sheetFormatPr defaultColWidth="9.140625" defaultRowHeight="15"/>
  <cols>
    <col min="1" max="1" width="12.7109375" style="5" bestFit="1" customWidth="1"/>
    <col min="2" max="9" width="8.7109375" style="1" customWidth="1"/>
    <col min="10" max="10" width="9.421875" style="1" bestFit="1" customWidth="1"/>
    <col min="11" max="11" width="7.7109375" style="1" bestFit="1" customWidth="1"/>
    <col min="12" max="12" width="9.421875" style="1" bestFit="1" customWidth="1"/>
    <col min="13" max="13" width="9.140625" style="1" bestFit="1" customWidth="1"/>
    <col min="14" max="14" width="10.00390625" style="1" bestFit="1" customWidth="1"/>
    <col min="15" max="16384" width="9.140625" style="1" customWidth="1"/>
  </cols>
  <sheetData>
    <row r="1" spans="1:16" ht="30" customHeight="1">
      <c r="A1" s="245"/>
      <c r="B1" s="1275" t="s">
        <v>787</v>
      </c>
      <c r="C1" s="1275"/>
      <c r="D1" s="1275"/>
      <c r="E1" s="1275"/>
      <c r="F1" s="1275"/>
      <c r="G1" s="1275"/>
      <c r="H1" s="1275"/>
      <c r="I1" s="1275"/>
      <c r="J1" s="1275"/>
      <c r="K1" s="1275"/>
      <c r="L1" s="1275"/>
      <c r="M1" s="1275"/>
      <c r="N1" s="6"/>
      <c r="O1" s="855"/>
      <c r="P1" s="855"/>
    </row>
    <row r="2" spans="1:14" s="1072" customFormat="1" ht="18.75" customHeight="1">
      <c r="A2" s="19"/>
      <c r="B2" s="865" t="s">
        <v>496</v>
      </c>
      <c r="C2" s="865" t="s">
        <v>497</v>
      </c>
      <c r="D2" s="865" t="s">
        <v>498</v>
      </c>
      <c r="E2" s="865" t="s">
        <v>499</v>
      </c>
      <c r="F2" s="865" t="s">
        <v>93</v>
      </c>
      <c r="G2" s="865" t="s">
        <v>500</v>
      </c>
      <c r="H2" s="865" t="s">
        <v>501</v>
      </c>
      <c r="I2" s="865" t="s">
        <v>502</v>
      </c>
      <c r="J2" s="865" t="s">
        <v>567</v>
      </c>
      <c r="K2" s="865" t="s">
        <v>733</v>
      </c>
      <c r="L2" s="865" t="s">
        <v>788</v>
      </c>
      <c r="M2" s="865" t="s">
        <v>735</v>
      </c>
      <c r="N2" s="19" t="s">
        <v>789</v>
      </c>
    </row>
    <row r="3" spans="1:14" ht="12.75">
      <c r="A3" s="1073">
        <v>2009</v>
      </c>
      <c r="B3" s="11">
        <v>644987</v>
      </c>
      <c r="C3" s="11">
        <v>568719</v>
      </c>
      <c r="D3" s="11">
        <v>589279</v>
      </c>
      <c r="E3" s="11">
        <v>462709</v>
      </c>
      <c r="F3" s="11">
        <v>448118</v>
      </c>
      <c r="G3" s="11">
        <v>427694</v>
      </c>
      <c r="H3" s="11">
        <v>467863</v>
      </c>
      <c r="I3" s="11">
        <v>493772</v>
      </c>
      <c r="J3" s="11">
        <v>439604</v>
      </c>
      <c r="K3" s="11">
        <v>489635</v>
      </c>
      <c r="L3" s="11">
        <v>557554</v>
      </c>
      <c r="M3" s="11">
        <v>639797</v>
      </c>
      <c r="N3" s="20">
        <f aca="true" t="shared" si="0" ref="N3:N9">SUM(B3:M3)</f>
        <v>6229731</v>
      </c>
    </row>
    <row r="4" spans="1:14" ht="12.75">
      <c r="A4" s="19">
        <v>2010</v>
      </c>
      <c r="B4" s="12">
        <v>675343</v>
      </c>
      <c r="C4" s="12">
        <v>608940</v>
      </c>
      <c r="D4" s="12">
        <v>610583</v>
      </c>
      <c r="E4" s="12">
        <v>506275</v>
      </c>
      <c r="F4" s="12">
        <v>476500</v>
      </c>
      <c r="G4" s="12">
        <v>464120</v>
      </c>
      <c r="H4" s="12">
        <v>499241</v>
      </c>
      <c r="I4" s="12">
        <v>512024</v>
      </c>
      <c r="J4" s="13">
        <v>460893</v>
      </c>
      <c r="K4" s="13">
        <v>509793</v>
      </c>
      <c r="L4" s="14">
        <v>532126</v>
      </c>
      <c r="M4" s="14">
        <v>660665</v>
      </c>
      <c r="N4" s="21">
        <f t="shared" si="0"/>
        <v>6516503</v>
      </c>
    </row>
    <row r="5" spans="1:14" ht="12.75">
      <c r="A5" s="19">
        <v>2011</v>
      </c>
      <c r="B5" s="14">
        <v>708263.6</v>
      </c>
      <c r="C5" s="14">
        <v>623208</v>
      </c>
      <c r="D5" s="14">
        <v>634087.2999999999</v>
      </c>
      <c r="E5" s="14">
        <v>536286</v>
      </c>
      <c r="F5" s="14">
        <v>533563.6</v>
      </c>
      <c r="G5" s="14">
        <v>495139</v>
      </c>
      <c r="H5" s="14">
        <v>545315.284</v>
      </c>
      <c r="I5" s="14">
        <v>567282.352</v>
      </c>
      <c r="J5" s="15">
        <v>512979</v>
      </c>
      <c r="K5" s="14">
        <v>551132.227777105</v>
      </c>
      <c r="L5" s="14">
        <v>619654.863689371</v>
      </c>
      <c r="M5" s="14">
        <v>710869.980760876</v>
      </c>
      <c r="N5" s="21">
        <f t="shared" si="0"/>
        <v>7037781.208227352</v>
      </c>
    </row>
    <row r="6" spans="1:14" ht="12.75">
      <c r="A6" s="1073">
        <v>2012</v>
      </c>
      <c r="B6" s="16">
        <v>733972.936504737</v>
      </c>
      <c r="C6" s="16">
        <v>680053.720967109</v>
      </c>
      <c r="D6" s="16">
        <v>596982</v>
      </c>
      <c r="E6" s="16">
        <v>537949.9</v>
      </c>
      <c r="F6" s="13">
        <v>483890.9</v>
      </c>
      <c r="G6" s="16">
        <v>489723</v>
      </c>
      <c r="H6" s="16">
        <v>536890.863014599</v>
      </c>
      <c r="I6" s="16">
        <v>540566</v>
      </c>
      <c r="J6" s="16">
        <v>469527</v>
      </c>
      <c r="K6" s="16">
        <v>484705.661665298</v>
      </c>
      <c r="L6" s="16">
        <v>548289.026552565</v>
      </c>
      <c r="M6" s="16">
        <v>749398</v>
      </c>
      <c r="N6" s="22">
        <f t="shared" si="0"/>
        <v>6851949.008704308</v>
      </c>
    </row>
    <row r="7" spans="1:14" ht="12.75">
      <c r="A7" s="19">
        <v>2013</v>
      </c>
      <c r="B7" s="23">
        <v>743846.309682549</v>
      </c>
      <c r="C7" s="23">
        <v>665392.4103706509</v>
      </c>
      <c r="D7" s="23">
        <v>673578.184832076</v>
      </c>
      <c r="E7" s="16">
        <v>545600.367041559</v>
      </c>
      <c r="F7" s="10">
        <v>502945</v>
      </c>
      <c r="G7" s="17">
        <v>511390</v>
      </c>
      <c r="H7" s="10">
        <v>546696</v>
      </c>
      <c r="I7" s="10">
        <v>565789</v>
      </c>
      <c r="J7" s="10">
        <v>493056</v>
      </c>
      <c r="K7" s="18">
        <v>532555.3511320871</v>
      </c>
      <c r="L7" s="18">
        <v>589808.270631668</v>
      </c>
      <c r="M7" s="18">
        <v>774402.8087441729</v>
      </c>
      <c r="N7" s="24">
        <f t="shared" si="0"/>
        <v>7145059.702434763</v>
      </c>
    </row>
    <row r="8" spans="1:14" ht="12.75">
      <c r="A8" s="19">
        <v>2014</v>
      </c>
      <c r="B8" s="23">
        <v>733468</v>
      </c>
      <c r="C8" s="23">
        <v>631678</v>
      </c>
      <c r="D8" s="23">
        <v>645837</v>
      </c>
      <c r="E8" s="16">
        <v>578948</v>
      </c>
      <c r="F8" s="18">
        <v>541016</v>
      </c>
      <c r="G8" s="17">
        <v>501088</v>
      </c>
      <c r="H8" s="10">
        <v>530554</v>
      </c>
      <c r="I8" s="18">
        <v>556098</v>
      </c>
      <c r="J8" s="18">
        <v>492427</v>
      </c>
      <c r="K8" s="18">
        <v>537280</v>
      </c>
      <c r="L8" s="18">
        <v>546419</v>
      </c>
      <c r="M8" s="18">
        <v>640431</v>
      </c>
      <c r="N8" s="24">
        <f t="shared" si="0"/>
        <v>6935244</v>
      </c>
    </row>
    <row r="9" spans="1:14" ht="12.75">
      <c r="A9" s="1073">
        <v>2015</v>
      </c>
      <c r="B9" s="23">
        <v>686041</v>
      </c>
      <c r="C9" s="23">
        <v>591978</v>
      </c>
      <c r="D9" s="23">
        <v>594775</v>
      </c>
      <c r="E9" s="16">
        <v>514282</v>
      </c>
      <c r="F9" s="18">
        <v>472405</v>
      </c>
      <c r="G9" s="17">
        <v>465730</v>
      </c>
      <c r="H9" s="17">
        <v>536160</v>
      </c>
      <c r="I9" s="17">
        <v>529208</v>
      </c>
      <c r="J9" s="17">
        <v>459012</v>
      </c>
      <c r="K9" s="17">
        <v>476969</v>
      </c>
      <c r="L9" s="17">
        <v>519281</v>
      </c>
      <c r="M9" s="17">
        <v>649026</v>
      </c>
      <c r="N9" s="24">
        <f t="shared" si="0"/>
        <v>6494867</v>
      </c>
    </row>
    <row r="10" spans="1:14" ht="13.5" thickBot="1">
      <c r="A10" s="1073">
        <v>2016</v>
      </c>
      <c r="B10" s="23">
        <v>671884</v>
      </c>
      <c r="C10" s="23">
        <v>559772</v>
      </c>
      <c r="D10" s="23">
        <v>573419</v>
      </c>
      <c r="E10" s="16">
        <v>469803</v>
      </c>
      <c r="F10" s="18">
        <v>477468</v>
      </c>
      <c r="G10" s="17">
        <v>463248</v>
      </c>
      <c r="H10" s="17">
        <v>509916</v>
      </c>
      <c r="I10" s="17">
        <v>514034</v>
      </c>
      <c r="J10" s="17">
        <v>451153</v>
      </c>
      <c r="K10" s="17">
        <v>480236</v>
      </c>
      <c r="L10" s="17">
        <v>540024</v>
      </c>
      <c r="M10" s="17">
        <v>688760</v>
      </c>
      <c r="N10" s="24">
        <f>SUM(B10:M10)</f>
        <v>6399717</v>
      </c>
    </row>
    <row r="11" spans="1:14" ht="12.75">
      <c r="A11" s="1073">
        <v>2017</v>
      </c>
      <c r="B11" s="23">
        <v>715886</v>
      </c>
      <c r="C11" s="23">
        <v>562270</v>
      </c>
      <c r="D11" s="23">
        <v>545214</v>
      </c>
      <c r="E11" s="16">
        <v>493731</v>
      </c>
      <c r="F11" s="382">
        <v>475055.24588289997</v>
      </c>
      <c r="G11" s="382">
        <v>485386.0228383368</v>
      </c>
      <c r="H11" s="382">
        <v>529805.327626669</v>
      </c>
      <c r="I11" s="382">
        <v>541989.3500991348</v>
      </c>
      <c r="J11" s="17"/>
      <c r="K11" s="17"/>
      <c r="L11" s="17"/>
      <c r="M11" s="17"/>
      <c r="N11" s="24"/>
    </row>
    <row r="13" spans="1:14" ht="12.75">
      <c r="A13" s="93" t="s">
        <v>736</v>
      </c>
      <c r="B13" s="383">
        <v>699725.7307734108</v>
      </c>
      <c r="C13" s="383">
        <v>616217.64141722</v>
      </c>
      <c r="D13" s="383">
        <v>614817.5606040095</v>
      </c>
      <c r="E13" s="383">
        <v>518981.65838019486</v>
      </c>
      <c r="F13" s="383">
        <v>491988.3125</v>
      </c>
      <c r="G13" s="383">
        <v>477266.5</v>
      </c>
      <c r="H13" s="383">
        <v>521579.51837682485</v>
      </c>
      <c r="I13" s="383">
        <v>534846.669</v>
      </c>
      <c r="J13" s="383">
        <v>472331.375</v>
      </c>
      <c r="K13" s="383">
        <v>507788.2800718113</v>
      </c>
      <c r="L13" s="383">
        <v>556644.5201092005</v>
      </c>
      <c r="M13" s="383">
        <v>689168.7236881312</v>
      </c>
      <c r="N13" s="383">
        <v>6701356.489920802</v>
      </c>
    </row>
    <row r="15" spans="11:13" ht="12.75">
      <c r="K15" s="1102" t="s">
        <v>443</v>
      </c>
      <c r="L15" s="1102"/>
      <c r="M15" s="1102"/>
    </row>
  </sheetData>
  <sheetProtection/>
  <mergeCells count="2">
    <mergeCell ref="B1:M1"/>
    <mergeCell ref="K15:M15"/>
  </mergeCells>
  <printOptions/>
  <pageMargins left="0.25" right="0.25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N28" sqref="N28"/>
    </sheetView>
  </sheetViews>
  <sheetFormatPr defaultColWidth="8.8515625" defaultRowHeight="15"/>
  <cols>
    <col min="1" max="1" width="43.421875" style="7" bestFit="1" customWidth="1"/>
    <col min="2" max="2" width="8.7109375" style="7" bestFit="1" customWidth="1"/>
    <col min="3" max="3" width="8.140625" style="7" bestFit="1" customWidth="1"/>
    <col min="4" max="8" width="8.00390625" style="7" bestFit="1" customWidth="1"/>
    <col min="9" max="9" width="7.8515625" style="7" bestFit="1" customWidth="1"/>
    <col min="10" max="10" width="9.421875" style="7" bestFit="1" customWidth="1"/>
    <col min="11" max="11" width="7.421875" style="7" bestFit="1" customWidth="1"/>
    <col min="12" max="12" width="9.421875" style="7" bestFit="1" customWidth="1"/>
    <col min="13" max="13" width="9.140625" style="7" bestFit="1" customWidth="1"/>
    <col min="14" max="14" width="9.28125" style="7" bestFit="1" customWidth="1"/>
    <col min="15" max="15" width="6.421875" style="7" bestFit="1" customWidth="1"/>
    <col min="16" max="16384" width="8.8515625" style="7" customWidth="1"/>
  </cols>
  <sheetData>
    <row r="1" spans="1:16" ht="25.5">
      <c r="A1" s="1074" t="s">
        <v>790</v>
      </c>
      <c r="B1" s="977" t="s">
        <v>496</v>
      </c>
      <c r="C1" s="977" t="s">
        <v>497</v>
      </c>
      <c r="D1" s="977" t="s">
        <v>498</v>
      </c>
      <c r="E1" s="977" t="s">
        <v>499</v>
      </c>
      <c r="F1" s="977" t="s">
        <v>93</v>
      </c>
      <c r="G1" s="977" t="s">
        <v>500</v>
      </c>
      <c r="H1" s="977" t="s">
        <v>501</v>
      </c>
      <c r="I1" s="977" t="s">
        <v>502</v>
      </c>
      <c r="J1" s="977" t="s">
        <v>567</v>
      </c>
      <c r="K1" s="977" t="s">
        <v>733</v>
      </c>
      <c r="L1" s="977" t="s">
        <v>734</v>
      </c>
      <c r="M1" s="977" t="s">
        <v>735</v>
      </c>
      <c r="N1" s="978" t="s">
        <v>809</v>
      </c>
      <c r="O1" s="857"/>
      <c r="P1" s="857"/>
    </row>
    <row r="2" spans="1:14" ht="12.75">
      <c r="A2" s="36" t="s">
        <v>791</v>
      </c>
      <c r="B2" s="963">
        <v>477984</v>
      </c>
      <c r="C2" s="963">
        <v>292224</v>
      </c>
      <c r="D2" s="963">
        <v>298093</v>
      </c>
      <c r="E2" s="963">
        <v>363534</v>
      </c>
      <c r="F2" s="963">
        <v>200023.63067080002</v>
      </c>
      <c r="G2" s="963">
        <v>399224.55768649996</v>
      </c>
      <c r="H2" s="963">
        <v>151908.45269915</v>
      </c>
      <c r="I2" s="963">
        <v>97095.083026</v>
      </c>
      <c r="J2" s="964"/>
      <c r="K2" s="965"/>
      <c r="L2" s="965"/>
      <c r="M2" s="965"/>
      <c r="N2" s="844">
        <v>2280086.72408245</v>
      </c>
    </row>
    <row r="3" spans="1:14" ht="12.75">
      <c r="A3" s="37" t="s">
        <v>792</v>
      </c>
      <c r="B3" s="963">
        <v>22495.15363500001</v>
      </c>
      <c r="C3" s="963">
        <v>49049.668037000025</v>
      </c>
      <c r="D3" s="963">
        <v>73302.37179400002</v>
      </c>
      <c r="E3" s="963">
        <v>59926.636029999994</v>
      </c>
      <c r="F3" s="963">
        <v>51480.67484</v>
      </c>
      <c r="G3" s="963">
        <v>26088.428483000003</v>
      </c>
      <c r="H3" s="963">
        <v>9062.391208999976</v>
      </c>
      <c r="I3" s="963">
        <v>5296.069262999995</v>
      </c>
      <c r="J3" s="966"/>
      <c r="K3" s="966"/>
      <c r="L3" s="966"/>
      <c r="M3" s="966"/>
      <c r="N3" s="979">
        <v>296701.393291</v>
      </c>
    </row>
    <row r="4" spans="1:14" ht="12.75">
      <c r="A4" s="37" t="s">
        <v>793</v>
      </c>
      <c r="B4" s="871">
        <v>19300.715685699997</v>
      </c>
      <c r="C4" s="871">
        <v>47302.384743</v>
      </c>
      <c r="D4" s="871">
        <v>66771.21860000001</v>
      </c>
      <c r="E4" s="871">
        <v>58358.52608219999</v>
      </c>
      <c r="F4" s="871">
        <v>51523.02825239999</v>
      </c>
      <c r="G4" s="871">
        <v>25641.474223499994</v>
      </c>
      <c r="H4" s="871">
        <v>7627.245773900001</v>
      </c>
      <c r="I4" s="871">
        <v>3056.56065289</v>
      </c>
      <c r="J4" s="54"/>
      <c r="K4" s="54"/>
      <c r="L4" s="54"/>
      <c r="M4" s="55"/>
      <c r="N4" s="979">
        <v>279581.15401359</v>
      </c>
    </row>
    <row r="5" spans="1:14" ht="12.75">
      <c r="A5" s="37" t="s">
        <v>794</v>
      </c>
      <c r="B5" s="967">
        <v>24792.372603</v>
      </c>
      <c r="C5" s="967">
        <v>20138.1874963</v>
      </c>
      <c r="D5" s="967">
        <v>18974.0685408</v>
      </c>
      <c r="E5" s="967">
        <v>21155.981607899997</v>
      </c>
      <c r="F5" s="967">
        <v>12010.574658300002</v>
      </c>
      <c r="G5" s="967">
        <v>19583.8516556</v>
      </c>
      <c r="H5" s="968">
        <v>7405.995753799999</v>
      </c>
      <c r="I5" s="968">
        <v>3571.8220361699996</v>
      </c>
      <c r="J5" s="31"/>
      <c r="K5" s="31"/>
      <c r="L5" s="31"/>
      <c r="M5" s="31"/>
      <c r="N5" s="979">
        <v>127632.85435186999</v>
      </c>
    </row>
    <row r="6" spans="1:14" ht="12.75">
      <c r="A6" s="37" t="s">
        <v>795</v>
      </c>
      <c r="B6" s="966">
        <v>2621.89102</v>
      </c>
      <c r="C6" s="966">
        <v>2896.8919200000023</v>
      </c>
      <c r="D6" s="966">
        <v>3302.61</v>
      </c>
      <c r="E6" s="966">
        <v>3120.17</v>
      </c>
      <c r="F6" s="966">
        <v>3036.600000000001</v>
      </c>
      <c r="G6" s="966">
        <v>2829.8399999999992</v>
      </c>
      <c r="H6" s="966">
        <v>2397.1099999999997</v>
      </c>
      <c r="I6" s="966">
        <v>1936.7599999999993</v>
      </c>
      <c r="J6" s="969"/>
      <c r="K6" s="969"/>
      <c r="L6" s="969"/>
      <c r="M6" s="969"/>
      <c r="N6" s="979">
        <v>22141.87294</v>
      </c>
    </row>
    <row r="7" spans="1:14" ht="12.75">
      <c r="A7" s="1075" t="s">
        <v>796</v>
      </c>
      <c r="B7" s="870">
        <v>21378</v>
      </c>
      <c r="C7" s="870">
        <v>28017</v>
      </c>
      <c r="D7" s="870">
        <v>43116</v>
      </c>
      <c r="E7" s="870">
        <v>38597</v>
      </c>
      <c r="F7" s="961">
        <v>25990.54503556</v>
      </c>
      <c r="G7" s="961">
        <v>18026.413696009997</v>
      </c>
      <c r="H7" s="962">
        <v>12908.06873914</v>
      </c>
      <c r="I7" s="962">
        <v>11366.646784279998</v>
      </c>
      <c r="J7" s="870"/>
      <c r="K7" s="870"/>
      <c r="L7" s="870"/>
      <c r="M7" s="870"/>
      <c r="N7" s="979">
        <v>199399.67425498998</v>
      </c>
    </row>
    <row r="8" spans="1:14" ht="12.75">
      <c r="A8" s="1075" t="s">
        <v>797</v>
      </c>
      <c r="B8" s="31">
        <v>5980</v>
      </c>
      <c r="C8" s="31">
        <v>13496</v>
      </c>
      <c r="D8" s="31">
        <v>13238</v>
      </c>
      <c r="E8" s="31">
        <v>8529</v>
      </c>
      <c r="F8" s="32">
        <v>5688.176795300002</v>
      </c>
      <c r="G8" s="32">
        <v>2791.447539899999</v>
      </c>
      <c r="H8" s="32">
        <v>1570.6446923000003</v>
      </c>
      <c r="I8" s="32">
        <v>800.1136496200002</v>
      </c>
      <c r="J8" s="31"/>
      <c r="K8" s="31"/>
      <c r="L8" s="31"/>
      <c r="M8" s="31"/>
      <c r="N8" s="979">
        <v>52093.382677120004</v>
      </c>
    </row>
    <row r="9" spans="1:14" ht="12.75">
      <c r="A9" s="1075" t="s">
        <v>798</v>
      </c>
      <c r="B9" s="31">
        <v>20359</v>
      </c>
      <c r="C9" s="31">
        <v>6332</v>
      </c>
      <c r="D9" s="31">
        <v>16690</v>
      </c>
      <c r="E9" s="31">
        <v>8096</v>
      </c>
      <c r="F9" s="961">
        <v>9297.350074400001</v>
      </c>
      <c r="G9" s="961">
        <v>9451.5659753</v>
      </c>
      <c r="H9" s="962">
        <v>11930.637316000002</v>
      </c>
      <c r="I9" s="962">
        <v>4158.912783000001</v>
      </c>
      <c r="J9" s="870"/>
      <c r="K9" s="870"/>
      <c r="L9" s="870"/>
      <c r="M9" s="870"/>
      <c r="N9" s="979">
        <v>86315.46614870001</v>
      </c>
    </row>
    <row r="10" spans="1:14" ht="13.5" thickBot="1">
      <c r="A10" s="37" t="s">
        <v>799</v>
      </c>
      <c r="B10" s="980">
        <v>594911.1329437</v>
      </c>
      <c r="C10" s="980">
        <v>459456.1321963</v>
      </c>
      <c r="D10" s="980">
        <v>533487.2689348</v>
      </c>
      <c r="E10" s="980">
        <v>561317.3137201</v>
      </c>
      <c r="F10" s="980">
        <v>359050.58032675995</v>
      </c>
      <c r="G10" s="980">
        <v>503637.57925981004</v>
      </c>
      <c r="H10" s="980">
        <v>204810.54618328996</v>
      </c>
      <c r="I10" s="980">
        <v>127281.96819495998</v>
      </c>
      <c r="J10" s="980"/>
      <c r="K10" s="980"/>
      <c r="L10" s="980"/>
      <c r="M10" s="980"/>
      <c r="N10" s="981">
        <v>3343952.52175972</v>
      </c>
    </row>
    <row r="11" spans="1:14" ht="12.75">
      <c r="A11" s="37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8"/>
    </row>
    <row r="12" spans="1:14" ht="13.5" thickBot="1">
      <c r="A12" s="1076" t="s">
        <v>800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8"/>
    </row>
    <row r="13" spans="1:14" ht="12.75">
      <c r="A13" s="37" t="s">
        <v>801</v>
      </c>
      <c r="B13" s="982">
        <v>86275.55799999999</v>
      </c>
      <c r="C13" s="982">
        <v>51274.48199999998</v>
      </c>
      <c r="D13" s="982">
        <v>52903.036</v>
      </c>
      <c r="E13" s="982">
        <v>74793.648</v>
      </c>
      <c r="F13" s="982">
        <v>18593.673</v>
      </c>
      <c r="G13" s="982">
        <v>77018.95099999999</v>
      </c>
      <c r="H13" s="982">
        <v>1030.289</v>
      </c>
      <c r="I13" s="982">
        <v>1229.387</v>
      </c>
      <c r="J13" s="983"/>
      <c r="K13" s="984"/>
      <c r="L13" s="984"/>
      <c r="M13" s="984"/>
      <c r="N13" s="985">
        <f>SUM(B13:M13)</f>
        <v>363119.024</v>
      </c>
    </row>
    <row r="14" spans="1:14" ht="12.75">
      <c r="A14" s="37" t="s">
        <v>802</v>
      </c>
      <c r="B14" s="971">
        <v>266571.404</v>
      </c>
      <c r="C14" s="971">
        <v>212046.23199999996</v>
      </c>
      <c r="D14" s="971">
        <v>142529.284</v>
      </c>
      <c r="E14" s="971">
        <v>92369.05600000001</v>
      </c>
      <c r="F14" s="971">
        <v>219890.13999999996</v>
      </c>
      <c r="G14" s="971">
        <v>146509.161</v>
      </c>
      <c r="H14" s="971">
        <v>403825.50699999987</v>
      </c>
      <c r="I14" s="971">
        <v>497226.081</v>
      </c>
      <c r="J14" s="970"/>
      <c r="K14" s="34"/>
      <c r="L14" s="34"/>
      <c r="M14" s="34"/>
      <c r="N14" s="986">
        <f>SUM(B14:M14)</f>
        <v>1980966.865</v>
      </c>
    </row>
    <row r="15" spans="1:14" ht="13.5" thickBot="1">
      <c r="A15" s="37" t="s">
        <v>803</v>
      </c>
      <c r="B15" s="987">
        <f>B14-B13</f>
        <v>180295.846</v>
      </c>
      <c r="C15" s="987">
        <f aca="true" t="shared" si="0" ref="C15:I15">C14-C13</f>
        <v>160771.74999999997</v>
      </c>
      <c r="D15" s="987">
        <f t="shared" si="0"/>
        <v>89626.24800000002</v>
      </c>
      <c r="E15" s="987">
        <f t="shared" si="0"/>
        <v>17575.40800000001</v>
      </c>
      <c r="F15" s="987">
        <f t="shared" si="0"/>
        <v>201296.46699999995</v>
      </c>
      <c r="G15" s="987">
        <f t="shared" si="0"/>
        <v>69490.21</v>
      </c>
      <c r="H15" s="987">
        <f t="shared" si="0"/>
        <v>402795.2179999999</v>
      </c>
      <c r="I15" s="987">
        <f t="shared" si="0"/>
        <v>495996.694</v>
      </c>
      <c r="J15" s="987"/>
      <c r="K15" s="987"/>
      <c r="L15" s="987"/>
      <c r="M15" s="987"/>
      <c r="N15" s="988">
        <f>N14-N13</f>
        <v>1617847.841</v>
      </c>
    </row>
    <row r="16" spans="1:14" ht="12.75">
      <c r="A16" s="37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8"/>
    </row>
    <row r="17" spans="1:14" ht="13.5" thickBot="1">
      <c r="A17" s="1076" t="s">
        <v>804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8"/>
    </row>
    <row r="18" spans="1:14" ht="12.75">
      <c r="A18" s="992" t="s">
        <v>805</v>
      </c>
      <c r="B18" s="989">
        <v>715886.3866904</v>
      </c>
      <c r="C18" s="989">
        <v>562269.9703652961</v>
      </c>
      <c r="D18" s="989">
        <v>545213.6902500001</v>
      </c>
      <c r="E18" s="989">
        <v>493731.192738187</v>
      </c>
      <c r="F18" s="989">
        <v>475055.24588289997</v>
      </c>
      <c r="G18" s="989">
        <v>485386.0228383368</v>
      </c>
      <c r="H18" s="989">
        <v>529805.327626669</v>
      </c>
      <c r="I18" s="989">
        <v>541989.3500991348</v>
      </c>
      <c r="J18" s="989"/>
      <c r="K18" s="990"/>
      <c r="L18" s="990"/>
      <c r="M18" s="990"/>
      <c r="N18" s="991">
        <f>SUM(B18:M18)</f>
        <v>4349337.186490924</v>
      </c>
    </row>
    <row r="19" spans="1:14" ht="12.75">
      <c r="A19" s="992" t="s">
        <v>806</v>
      </c>
      <c r="B19" s="967">
        <v>16207.18681407</v>
      </c>
      <c r="C19" s="967">
        <v>12302.138083433867</v>
      </c>
      <c r="D19" s="967">
        <v>13896.88790960002</v>
      </c>
      <c r="E19" s="967">
        <v>13614.828859462976</v>
      </c>
      <c r="F19" s="967">
        <v>12001.269966409982</v>
      </c>
      <c r="G19" s="967">
        <v>13364.391992172956</v>
      </c>
      <c r="H19" s="968">
        <v>12531.950086781264</v>
      </c>
      <c r="I19" s="968">
        <v>13886.292636624932</v>
      </c>
      <c r="J19" s="972"/>
      <c r="K19" s="972"/>
      <c r="L19" s="972"/>
      <c r="M19" s="972"/>
      <c r="N19" s="993">
        <f>SUM(B19:M19)</f>
        <v>107804.946348556</v>
      </c>
    </row>
    <row r="20" spans="1:14" ht="12.75">
      <c r="A20" s="992" t="s">
        <v>465</v>
      </c>
      <c r="B20" s="973">
        <v>195</v>
      </c>
      <c r="C20" s="974">
        <v>157</v>
      </c>
      <c r="D20" s="974">
        <v>171</v>
      </c>
      <c r="E20" s="974">
        <v>149</v>
      </c>
      <c r="F20" s="974">
        <v>161</v>
      </c>
      <c r="G20" s="974">
        <v>147</v>
      </c>
      <c r="H20" s="974">
        <v>154</v>
      </c>
      <c r="I20" s="974">
        <v>153</v>
      </c>
      <c r="J20" s="963"/>
      <c r="K20" s="963"/>
      <c r="L20" s="963"/>
      <c r="M20" s="963"/>
      <c r="N20" s="994">
        <f>SUM(B20:M20)</f>
        <v>1287</v>
      </c>
    </row>
    <row r="21" spans="1:14" ht="12.75">
      <c r="A21" s="992" t="s">
        <v>807</v>
      </c>
      <c r="B21" s="975">
        <v>42918.15893040001</v>
      </c>
      <c r="C21" s="975">
        <v>45498.431950909995</v>
      </c>
      <c r="D21" s="975">
        <v>63832.0710846</v>
      </c>
      <c r="E21" s="975">
        <v>71397.2804162</v>
      </c>
      <c r="F21" s="975">
        <v>73129.95346165002</v>
      </c>
      <c r="G21" s="975">
        <v>74230.25884492</v>
      </c>
      <c r="H21" s="975">
        <v>65114.37852183999</v>
      </c>
      <c r="I21" s="975">
        <v>67249.6867542</v>
      </c>
      <c r="J21" s="972"/>
      <c r="K21" s="972"/>
      <c r="L21" s="972"/>
      <c r="M21" s="972"/>
      <c r="N21" s="994">
        <f>SUM(B21:M21)</f>
        <v>503370.21996471996</v>
      </c>
    </row>
    <row r="22" spans="1:16" ht="13.5" thickBot="1">
      <c r="A22" s="1077" t="s">
        <v>808</v>
      </c>
      <c r="B22" s="995">
        <f>SUM(B18:B21)</f>
        <v>775206.73243487</v>
      </c>
      <c r="C22" s="995">
        <f>SUM(C18:C21)</f>
        <v>620227.54039964</v>
      </c>
      <c r="D22" s="995">
        <f>SUM(D18:D21)</f>
        <v>623113.6492442002</v>
      </c>
      <c r="E22" s="995">
        <f>SUM(E18:E21)</f>
        <v>578892.30201385</v>
      </c>
      <c r="F22" s="995">
        <f>SUM(F18:F21)</f>
        <v>560347.46931096</v>
      </c>
      <c r="G22" s="995">
        <f>SUM(G18:G21)</f>
        <v>573127.6736754298</v>
      </c>
      <c r="H22" s="995">
        <f>SUM(H18:H21)</f>
        <v>607605.6562352902</v>
      </c>
      <c r="I22" s="995">
        <f>SUM(I18:I21)</f>
        <v>623278.3294899598</v>
      </c>
      <c r="J22" s="996"/>
      <c r="K22" s="996"/>
      <c r="L22" s="996"/>
      <c r="M22" s="996"/>
      <c r="N22" s="997">
        <f>SUM(B22:M22)</f>
        <v>4961799.352804201</v>
      </c>
      <c r="P22" s="33"/>
    </row>
    <row r="24" spans="8:13" ht="15" customHeight="1">
      <c r="H24" s="1017" t="s">
        <v>446</v>
      </c>
      <c r="I24" s="1017"/>
      <c r="J24" s="1017"/>
      <c r="K24" s="1017"/>
      <c r="L24" s="1017"/>
      <c r="M24" s="1017"/>
    </row>
    <row r="25" ht="12.75">
      <c r="N25" s="976"/>
    </row>
  </sheetData>
  <sheetProtection/>
  <printOptions/>
  <pageMargins left="0.25" right="0.25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24"/>
  <sheetViews>
    <sheetView zoomScale="115" zoomScaleNormal="115" zoomScalePageLayoutView="0" workbookViewId="0" topLeftCell="B1">
      <selection activeCell="Q18" sqref="Q18"/>
    </sheetView>
  </sheetViews>
  <sheetFormatPr defaultColWidth="9.140625" defaultRowHeight="15"/>
  <cols>
    <col min="1" max="1" width="3.140625" style="203" bestFit="1" customWidth="1"/>
    <col min="2" max="2" width="39.421875" style="203" bestFit="1" customWidth="1"/>
    <col min="3" max="7" width="6.421875" style="203" bestFit="1" customWidth="1"/>
    <col min="8" max="8" width="7.421875" style="203" bestFit="1" customWidth="1"/>
    <col min="9" max="9" width="6.421875" style="203" bestFit="1" customWidth="1"/>
    <col min="10" max="10" width="7.7109375" style="203" bestFit="1" customWidth="1"/>
    <col min="11" max="11" width="6.7109375" style="203" bestFit="1" customWidth="1"/>
    <col min="12" max="12" width="5.00390625" style="203" bestFit="1" customWidth="1"/>
    <col min="13" max="13" width="6.28125" style="203" bestFit="1" customWidth="1"/>
    <col min="14" max="14" width="6.8515625" style="203" bestFit="1" customWidth="1"/>
    <col min="15" max="15" width="8.7109375" style="203" bestFit="1" customWidth="1"/>
    <col min="16" max="16384" width="9.140625" style="203" customWidth="1"/>
  </cols>
  <sheetData>
    <row r="1" ht="13.5" thickBot="1"/>
    <row r="2" spans="1:15" ht="16.5" thickBot="1">
      <c r="A2" s="59"/>
      <c r="B2" s="1078"/>
      <c r="C2" s="1079" t="s">
        <v>496</v>
      </c>
      <c r="D2" s="1079" t="s">
        <v>497</v>
      </c>
      <c r="E2" s="1079" t="s">
        <v>498</v>
      </c>
      <c r="F2" s="1079" t="s">
        <v>499</v>
      </c>
      <c r="G2" s="1079" t="s">
        <v>93</v>
      </c>
      <c r="H2" s="1079" t="s">
        <v>500</v>
      </c>
      <c r="I2" s="1079" t="s">
        <v>501</v>
      </c>
      <c r="J2" s="1079" t="s">
        <v>502</v>
      </c>
      <c r="K2" s="1079" t="s">
        <v>567</v>
      </c>
      <c r="L2" s="1079" t="s">
        <v>733</v>
      </c>
      <c r="M2" s="1079" t="s">
        <v>734</v>
      </c>
      <c r="N2" s="1079" t="s">
        <v>735</v>
      </c>
      <c r="O2" s="1080" t="s">
        <v>17</v>
      </c>
    </row>
    <row r="3" spans="1:15" ht="16.5" thickBot="1">
      <c r="A3" s="60" t="s">
        <v>330</v>
      </c>
      <c r="B3" s="1081" t="s">
        <v>810</v>
      </c>
      <c r="C3" s="1276" t="s">
        <v>811</v>
      </c>
      <c r="D3" s="1276"/>
      <c r="E3" s="1276"/>
      <c r="F3" s="1276"/>
      <c r="G3" s="1276"/>
      <c r="H3" s="1276"/>
      <c r="I3" s="1276"/>
      <c r="J3" s="1276"/>
      <c r="K3" s="1276"/>
      <c r="L3" s="1276"/>
      <c r="M3" s="1276"/>
      <c r="N3" s="1276"/>
      <c r="O3" s="1277"/>
    </row>
    <row r="4" spans="1:15" ht="12.75">
      <c r="A4" s="61"/>
      <c r="B4" s="62" t="s">
        <v>171</v>
      </c>
      <c r="C4" s="38"/>
      <c r="D4" s="39"/>
      <c r="E4" s="39"/>
      <c r="F4" s="40"/>
      <c r="G4" s="40"/>
      <c r="H4" s="40"/>
      <c r="I4" s="40"/>
      <c r="J4" s="40"/>
      <c r="K4" s="40"/>
      <c r="L4" s="40"/>
      <c r="M4" s="40"/>
      <c r="N4" s="41"/>
      <c r="O4" s="901"/>
    </row>
    <row r="5" spans="1:15" ht="12.75">
      <c r="A5" s="63">
        <v>1</v>
      </c>
      <c r="B5" s="64" t="s">
        <v>331</v>
      </c>
      <c r="C5" s="42">
        <v>10055.0149284</v>
      </c>
      <c r="D5" s="43">
        <v>10993.679322</v>
      </c>
      <c r="E5" s="43">
        <v>12444.9753803</v>
      </c>
      <c r="F5" s="43">
        <v>12335.209028199999</v>
      </c>
      <c r="G5" s="44">
        <v>12187.1131413</v>
      </c>
      <c r="H5" s="44">
        <v>12178.112346400005</v>
      </c>
      <c r="I5" s="44">
        <v>12514.804589000001</v>
      </c>
      <c r="J5" s="44">
        <v>12297.047789999997</v>
      </c>
      <c r="K5" s="43"/>
      <c r="L5" s="44"/>
      <c r="M5" s="44"/>
      <c r="N5" s="45"/>
      <c r="O5" s="902">
        <f>SUM(C5:N5)</f>
        <v>95005.9565256</v>
      </c>
    </row>
    <row r="6" spans="1:15" ht="12.75">
      <c r="A6" s="63">
        <v>2</v>
      </c>
      <c r="B6" s="64" t="s">
        <v>332</v>
      </c>
      <c r="C6" s="42"/>
      <c r="D6" s="43"/>
      <c r="E6" s="43">
        <v>8.3140489</v>
      </c>
      <c r="F6" s="43">
        <v>29.90023540000001</v>
      </c>
      <c r="G6" s="44">
        <v>33.9878322</v>
      </c>
      <c r="H6" s="44">
        <v>40.62856229999999</v>
      </c>
      <c r="I6" s="44">
        <v>44.41894600000002</v>
      </c>
      <c r="J6" s="44">
        <v>1135.89332</v>
      </c>
      <c r="K6" s="43"/>
      <c r="L6" s="44"/>
      <c r="M6" s="44"/>
      <c r="N6" s="45"/>
      <c r="O6" s="902">
        <f aca="true" t="shared" si="0" ref="O6:O20">SUM(C6:N6)</f>
        <v>1293.1429448</v>
      </c>
    </row>
    <row r="7" spans="1:15" ht="12.75">
      <c r="A7" s="63">
        <v>3</v>
      </c>
      <c r="B7" s="65" t="s">
        <v>333</v>
      </c>
      <c r="C7" s="42">
        <v>4983.9987374</v>
      </c>
      <c r="D7" s="43">
        <v>4492.8519795</v>
      </c>
      <c r="E7" s="43">
        <v>5066.5355724</v>
      </c>
      <c r="F7" s="43">
        <v>5022.0626928</v>
      </c>
      <c r="G7" s="44">
        <v>5364.736982299999</v>
      </c>
      <c r="H7" s="44">
        <v>5220.727799</v>
      </c>
      <c r="I7" s="44">
        <v>1553.0137476</v>
      </c>
      <c r="J7" s="44">
        <v>5128.267867</v>
      </c>
      <c r="K7" s="43"/>
      <c r="L7" s="44"/>
      <c r="M7" s="44"/>
      <c r="N7" s="45"/>
      <c r="O7" s="902">
        <f t="shared" si="0"/>
        <v>36832.195378000004</v>
      </c>
    </row>
    <row r="8" spans="1:15" ht="12.75">
      <c r="A8" s="63">
        <v>4</v>
      </c>
      <c r="B8" s="65" t="s">
        <v>172</v>
      </c>
      <c r="C8" s="42">
        <v>5972.1911617</v>
      </c>
      <c r="D8" s="43">
        <v>3947.9921428</v>
      </c>
      <c r="E8" s="43">
        <v>10565.5738767</v>
      </c>
      <c r="F8" s="43">
        <v>9879.4838403</v>
      </c>
      <c r="G8" s="44">
        <v>10958.989255299999</v>
      </c>
      <c r="H8" s="44">
        <v>10093.161670499998</v>
      </c>
      <c r="I8" s="44">
        <v>9312.808848699999</v>
      </c>
      <c r="J8" s="44">
        <v>7589.355189999999</v>
      </c>
      <c r="K8" s="43"/>
      <c r="L8" s="44"/>
      <c r="M8" s="44"/>
      <c r="N8" s="45"/>
      <c r="O8" s="902">
        <f t="shared" si="0"/>
        <v>68319.55598599999</v>
      </c>
    </row>
    <row r="9" spans="1:15" ht="12.75">
      <c r="A9" s="63">
        <v>5</v>
      </c>
      <c r="B9" s="65" t="s">
        <v>173</v>
      </c>
      <c r="C9" s="42">
        <v>6401.8771739</v>
      </c>
      <c r="D9" s="43">
        <v>5588.650459</v>
      </c>
      <c r="E9" s="43">
        <v>6345.2497004</v>
      </c>
      <c r="F9" s="43">
        <v>6077.368009500001</v>
      </c>
      <c r="G9" s="44">
        <v>6352.6585557</v>
      </c>
      <c r="H9" s="44">
        <v>6279.294382399999</v>
      </c>
      <c r="I9" s="44">
        <v>6392.509765999999</v>
      </c>
      <c r="J9" s="44">
        <v>5878.9282480500015</v>
      </c>
      <c r="K9" s="43"/>
      <c r="L9" s="44"/>
      <c r="M9" s="44"/>
      <c r="N9" s="45"/>
      <c r="O9" s="902">
        <f t="shared" si="0"/>
        <v>49316.536294950005</v>
      </c>
    </row>
    <row r="10" spans="1:15" ht="12.75">
      <c r="A10" s="63">
        <v>6</v>
      </c>
      <c r="B10" s="66" t="s">
        <v>174</v>
      </c>
      <c r="C10" s="42">
        <v>7676.3988901</v>
      </c>
      <c r="D10" s="43">
        <v>3139.9798762</v>
      </c>
      <c r="E10" s="43">
        <v>3366.7039958</v>
      </c>
      <c r="F10" s="43">
        <v>11730.380668799997</v>
      </c>
      <c r="G10" s="44">
        <v>9469.3115676</v>
      </c>
      <c r="H10" s="44">
        <v>12944.364188500002</v>
      </c>
      <c r="I10" s="44">
        <v>13365.5184321</v>
      </c>
      <c r="J10" s="44">
        <v>11634.651554000002</v>
      </c>
      <c r="K10" s="43"/>
      <c r="L10" s="44"/>
      <c r="M10" s="44"/>
      <c r="N10" s="45"/>
      <c r="O10" s="902">
        <f t="shared" si="0"/>
        <v>73327.3091731</v>
      </c>
    </row>
    <row r="11" spans="1:15" ht="12.75">
      <c r="A11" s="63">
        <v>7</v>
      </c>
      <c r="B11" s="66" t="s">
        <v>175</v>
      </c>
      <c r="C11" s="42">
        <v>524.7727007</v>
      </c>
      <c r="D11" s="43">
        <v>876.9767318</v>
      </c>
      <c r="E11" s="43">
        <v>1339.761953</v>
      </c>
      <c r="F11" s="43">
        <v>1255.3627548</v>
      </c>
      <c r="G11" s="44">
        <v>1379.6073763</v>
      </c>
      <c r="H11" s="44">
        <v>1056.8751905999995</v>
      </c>
      <c r="I11" s="44">
        <v>851.5179736</v>
      </c>
      <c r="J11" s="44">
        <v>979.67975648</v>
      </c>
      <c r="K11" s="43"/>
      <c r="L11" s="44"/>
      <c r="M11" s="44"/>
      <c r="N11" s="45"/>
      <c r="O11" s="902">
        <f t="shared" si="0"/>
        <v>8264.55443728</v>
      </c>
    </row>
    <row r="12" spans="1:15" ht="12.75">
      <c r="A12" s="63">
        <v>8</v>
      </c>
      <c r="B12" s="66" t="s">
        <v>153</v>
      </c>
      <c r="C12" s="42">
        <v>6214.4644278</v>
      </c>
      <c r="D12" s="43">
        <v>15468.920478</v>
      </c>
      <c r="E12" s="43">
        <v>23595.3636108</v>
      </c>
      <c r="F12" s="43">
        <v>24047.782437399997</v>
      </c>
      <c r="G12" s="44">
        <v>26312.595405800002</v>
      </c>
      <c r="H12" s="43">
        <v>25420.576075229998</v>
      </c>
      <c r="I12" s="44">
        <v>19951.659844600003</v>
      </c>
      <c r="J12" s="44">
        <v>20278.857479000002</v>
      </c>
      <c r="K12" s="43"/>
      <c r="L12" s="44"/>
      <c r="M12" s="44"/>
      <c r="N12" s="45"/>
      <c r="O12" s="902">
        <f t="shared" si="0"/>
        <v>161290.21975863</v>
      </c>
    </row>
    <row r="13" spans="1:15" ht="12.75">
      <c r="A13" s="63">
        <v>9</v>
      </c>
      <c r="B13" s="66" t="s">
        <v>176</v>
      </c>
      <c r="C13" s="42">
        <v>35.8280765</v>
      </c>
      <c r="D13" s="43">
        <v>30.5127144</v>
      </c>
      <c r="E13" s="43">
        <v>31.307923</v>
      </c>
      <c r="F13" s="43">
        <v>26.181411599999997</v>
      </c>
      <c r="G13" s="44">
        <v>22.725277300000005</v>
      </c>
      <c r="H13" s="43">
        <v>20.193706000000002</v>
      </c>
      <c r="I13" s="44">
        <v>19.8078016</v>
      </c>
      <c r="J13" s="44">
        <v>1174.6538739999999</v>
      </c>
      <c r="K13" s="43"/>
      <c r="L13" s="44"/>
      <c r="M13" s="44"/>
      <c r="N13" s="45"/>
      <c r="O13" s="902">
        <f t="shared" si="0"/>
        <v>1361.2107844</v>
      </c>
    </row>
    <row r="14" spans="1:15" ht="12.75">
      <c r="A14" s="63">
        <v>11</v>
      </c>
      <c r="B14" s="65" t="s">
        <v>357</v>
      </c>
      <c r="C14" s="42">
        <v>0</v>
      </c>
      <c r="D14" s="43">
        <v>0</v>
      </c>
      <c r="E14" s="43">
        <v>0</v>
      </c>
      <c r="F14" s="43">
        <v>0</v>
      </c>
      <c r="G14" s="44">
        <v>0</v>
      </c>
      <c r="H14" s="44">
        <v>0</v>
      </c>
      <c r="I14" s="44">
        <v>3.8096151</v>
      </c>
      <c r="J14" s="44">
        <v>22.312293760000003</v>
      </c>
      <c r="K14" s="43"/>
      <c r="L14" s="44"/>
      <c r="M14" s="44"/>
      <c r="N14" s="45"/>
      <c r="O14" s="902">
        <f t="shared" si="0"/>
        <v>26.12190886</v>
      </c>
    </row>
    <row r="15" spans="1:15" ht="12.75">
      <c r="A15" s="63">
        <v>13</v>
      </c>
      <c r="B15" s="65" t="s">
        <v>358</v>
      </c>
      <c r="C15" s="46">
        <v>0</v>
      </c>
      <c r="D15" s="43">
        <v>0</v>
      </c>
      <c r="E15" s="43">
        <v>0</v>
      </c>
      <c r="F15" s="43">
        <v>0</v>
      </c>
      <c r="G15" s="44">
        <v>0</v>
      </c>
      <c r="H15" s="44">
        <v>0</v>
      </c>
      <c r="I15" s="44">
        <v>3.6405011</v>
      </c>
      <c r="J15" s="44">
        <v>25.676836619999996</v>
      </c>
      <c r="K15" s="43"/>
      <c r="L15" s="44"/>
      <c r="M15" s="44"/>
      <c r="N15" s="45"/>
      <c r="O15" s="902">
        <f t="shared" si="0"/>
        <v>29.317337719999998</v>
      </c>
    </row>
    <row r="16" spans="1:15" ht="12.75">
      <c r="A16" s="63">
        <v>15</v>
      </c>
      <c r="B16" s="65" t="s">
        <v>359</v>
      </c>
      <c r="C16" s="46">
        <v>1.9354</v>
      </c>
      <c r="D16" s="43">
        <v>2.51415191</v>
      </c>
      <c r="E16" s="43">
        <v>4.75649</v>
      </c>
      <c r="F16" s="43">
        <v>0</v>
      </c>
      <c r="G16" s="44">
        <v>0.87298855</v>
      </c>
      <c r="H16" s="43">
        <v>11.741429589999997</v>
      </c>
      <c r="I16" s="44">
        <v>10.563549340000003</v>
      </c>
      <c r="J16" s="44">
        <v>48.369837069999996</v>
      </c>
      <c r="K16" s="43"/>
      <c r="L16" s="44"/>
      <c r="M16" s="44"/>
      <c r="N16" s="45"/>
      <c r="O16" s="902">
        <f t="shared" si="0"/>
        <v>80.75384646</v>
      </c>
    </row>
    <row r="17" spans="1:15" ht="12.75">
      <c r="A17" s="63">
        <v>17</v>
      </c>
      <c r="B17" s="65" t="s">
        <v>360</v>
      </c>
      <c r="C17" s="46">
        <v>0</v>
      </c>
      <c r="D17" s="46">
        <v>0</v>
      </c>
      <c r="E17" s="46">
        <v>0</v>
      </c>
      <c r="F17" s="46">
        <v>0</v>
      </c>
      <c r="G17" s="44">
        <v>0</v>
      </c>
      <c r="H17" s="43">
        <v>0</v>
      </c>
      <c r="I17" s="43">
        <v>0</v>
      </c>
      <c r="J17" s="43">
        <v>0</v>
      </c>
      <c r="K17" s="43"/>
      <c r="L17" s="44"/>
      <c r="M17" s="44"/>
      <c r="N17" s="45"/>
      <c r="O17" s="902">
        <f t="shared" si="0"/>
        <v>0</v>
      </c>
    </row>
    <row r="18" spans="1:15" ht="12.75">
      <c r="A18" s="63">
        <v>19</v>
      </c>
      <c r="B18" s="65" t="s">
        <v>361</v>
      </c>
      <c r="C18" s="46">
        <v>0</v>
      </c>
      <c r="D18" s="43">
        <v>0</v>
      </c>
      <c r="E18" s="43">
        <v>0</v>
      </c>
      <c r="F18" s="43">
        <v>0</v>
      </c>
      <c r="G18" s="44">
        <v>0</v>
      </c>
      <c r="H18" s="43">
        <v>0</v>
      </c>
      <c r="I18" s="43">
        <v>0</v>
      </c>
      <c r="J18" s="43">
        <v>0</v>
      </c>
      <c r="K18" s="43"/>
      <c r="L18" s="44"/>
      <c r="M18" s="44"/>
      <c r="N18" s="45"/>
      <c r="O18" s="902">
        <f t="shared" si="0"/>
        <v>0</v>
      </c>
    </row>
    <row r="19" spans="1:15" ht="12.75">
      <c r="A19" s="63">
        <v>21</v>
      </c>
      <c r="B19" s="65" t="s">
        <v>362</v>
      </c>
      <c r="C19" s="47">
        <v>38.7407642</v>
      </c>
      <c r="D19" s="43">
        <v>3.856318</v>
      </c>
      <c r="E19" s="43">
        <v>4.7919679</v>
      </c>
      <c r="F19" s="43">
        <v>11.460734699999998</v>
      </c>
      <c r="G19" s="44">
        <v>20.815811999999998</v>
      </c>
      <c r="H19" s="43">
        <v>28.5291594</v>
      </c>
      <c r="I19" s="44">
        <v>33.3553656</v>
      </c>
      <c r="J19" s="44">
        <v>38.41539722</v>
      </c>
      <c r="K19" s="43"/>
      <c r="L19" s="44"/>
      <c r="M19" s="44"/>
      <c r="N19" s="45"/>
      <c r="O19" s="902">
        <f t="shared" si="0"/>
        <v>179.96551902</v>
      </c>
    </row>
    <row r="20" spans="1:15" ht="12.75">
      <c r="A20" s="63">
        <v>23</v>
      </c>
      <c r="B20" s="65" t="s">
        <v>363</v>
      </c>
      <c r="C20" s="42">
        <v>12.0985184</v>
      </c>
      <c r="D20" s="43">
        <v>17.1645746</v>
      </c>
      <c r="E20" s="43">
        <v>15.8117356</v>
      </c>
      <c r="F20" s="43">
        <v>23.618202500000002</v>
      </c>
      <c r="G20" s="44">
        <v>17.3770723</v>
      </c>
      <c r="H20" s="44">
        <v>14.920042000000004</v>
      </c>
      <c r="I20" s="44">
        <v>11.725265799999999</v>
      </c>
      <c r="J20" s="44">
        <v>50.14444000000001</v>
      </c>
      <c r="K20" s="48"/>
      <c r="L20" s="49"/>
      <c r="M20" s="49"/>
      <c r="N20" s="50"/>
      <c r="O20" s="902">
        <f t="shared" si="0"/>
        <v>162.85985120000004</v>
      </c>
    </row>
    <row r="21" spans="1:15" ht="13.5" thickBot="1">
      <c r="A21" s="63">
        <v>24</v>
      </c>
      <c r="B21" s="67" t="s">
        <v>813</v>
      </c>
      <c r="C21" s="68">
        <v>1000.8381513</v>
      </c>
      <c r="D21" s="69">
        <v>935.3332027</v>
      </c>
      <c r="E21" s="69">
        <v>1042.9248298</v>
      </c>
      <c r="F21" s="69">
        <v>958.4704002</v>
      </c>
      <c r="G21" s="44">
        <v>1009.1621950000002</v>
      </c>
      <c r="H21" s="69">
        <v>921.134293</v>
      </c>
      <c r="I21" s="69">
        <v>1045.2242757000001</v>
      </c>
      <c r="J21" s="69">
        <v>967.432871</v>
      </c>
      <c r="K21" s="69"/>
      <c r="L21" s="69"/>
      <c r="M21" s="70"/>
      <c r="N21" s="71"/>
      <c r="O21" s="902">
        <f>SUM(C21:N21)</f>
        <v>7880.5202187</v>
      </c>
    </row>
    <row r="22" spans="1:15" ht="13.5" thickBot="1">
      <c r="A22" s="72"/>
      <c r="B22" s="898" t="s">
        <v>812</v>
      </c>
      <c r="C22" s="899">
        <f aca="true" t="shared" si="1" ref="C22:J22">SUM(C5:C21)</f>
        <v>42918.15893040001</v>
      </c>
      <c r="D22" s="899">
        <f t="shared" si="1"/>
        <v>45498.431950909995</v>
      </c>
      <c r="E22" s="899">
        <f t="shared" si="1"/>
        <v>63832.0710846</v>
      </c>
      <c r="F22" s="899">
        <f t="shared" si="1"/>
        <v>71397.2804162</v>
      </c>
      <c r="G22" s="899">
        <f t="shared" si="1"/>
        <v>73129.95346165002</v>
      </c>
      <c r="H22" s="899">
        <f t="shared" si="1"/>
        <v>74230.25884492</v>
      </c>
      <c r="I22" s="899">
        <f t="shared" si="1"/>
        <v>65114.37852183999</v>
      </c>
      <c r="J22" s="899">
        <f t="shared" si="1"/>
        <v>67249.6867542</v>
      </c>
      <c r="K22" s="899"/>
      <c r="L22" s="899"/>
      <c r="M22" s="899"/>
      <c r="N22" s="900"/>
      <c r="O22" s="900">
        <f>SUM(O5:O21)</f>
        <v>503370.21996472</v>
      </c>
    </row>
    <row r="24" spans="12:16" ht="12.75">
      <c r="L24" s="1132" t="s">
        <v>441</v>
      </c>
      <c r="M24" s="1132"/>
      <c r="N24" s="1132"/>
      <c r="O24" s="1132"/>
      <c r="P24" s="1014"/>
    </row>
  </sheetData>
  <sheetProtection/>
  <mergeCells count="2">
    <mergeCell ref="L24:O24"/>
    <mergeCell ref="C3:O3"/>
  </mergeCells>
  <printOptions/>
  <pageMargins left="0.25" right="0.25" top="0.75" bottom="0.75" header="0.3" footer="0.3"/>
  <pageSetup orientation="landscape" scale="95" r:id="rId1"/>
  <colBreaks count="1" manualBreakCount="1">
    <brk id="15" max="4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SheetLayoutView="100" zoomScalePageLayoutView="0" workbookViewId="0" topLeftCell="A1">
      <selection activeCell="N3" sqref="N3"/>
    </sheetView>
  </sheetViews>
  <sheetFormatPr defaultColWidth="9.140625" defaultRowHeight="15"/>
  <cols>
    <col min="1" max="1" width="5.8515625" style="379" bestFit="1" customWidth="1"/>
    <col min="2" max="4" width="7.7109375" style="379" customWidth="1"/>
    <col min="5" max="5" width="4.7109375" style="379" bestFit="1" customWidth="1"/>
    <col min="6" max="6" width="7.7109375" style="379" customWidth="1"/>
    <col min="7" max="7" width="5.421875" style="379" bestFit="1" customWidth="1"/>
    <col min="8" max="8" width="7.7109375" style="379" customWidth="1"/>
    <col min="9" max="9" width="6.421875" style="379" bestFit="1" customWidth="1"/>
    <col min="10" max="10" width="9.8515625" style="379" bestFit="1" customWidth="1"/>
    <col min="11" max="11" width="6.8515625" style="379" bestFit="1" customWidth="1"/>
    <col min="12" max="12" width="8.8515625" style="379" bestFit="1" customWidth="1"/>
    <col min="13" max="13" width="8.28125" style="379" bestFit="1" customWidth="1"/>
    <col min="14" max="14" width="7.7109375" style="379" customWidth="1"/>
    <col min="15" max="16384" width="9.140625" style="379" customWidth="1"/>
  </cols>
  <sheetData>
    <row r="1" spans="1:16" ht="30" customHeight="1">
      <c r="A1" s="1280" t="s">
        <v>814</v>
      </c>
      <c r="B1" s="1281"/>
      <c r="C1" s="1281"/>
      <c r="D1" s="1281"/>
      <c r="E1" s="1281"/>
      <c r="F1" s="1282"/>
      <c r="G1" s="1282"/>
      <c r="H1" s="1282"/>
      <c r="I1" s="1282"/>
      <c r="J1" s="1282"/>
      <c r="K1" s="1282"/>
      <c r="L1" s="1282"/>
      <c r="M1" s="1282"/>
      <c r="N1" s="1283"/>
      <c r="O1" s="855"/>
      <c r="P1" s="855"/>
    </row>
    <row r="2" spans="1:14" ht="13.5" thickBot="1">
      <c r="A2" s="1278" t="s">
        <v>815</v>
      </c>
      <c r="B2" s="1279"/>
      <c r="C2" s="1279"/>
      <c r="D2" s="1284" t="s">
        <v>816</v>
      </c>
      <c r="E2" s="1284"/>
      <c r="F2" s="1284"/>
      <c r="G2" s="1284"/>
      <c r="H2" s="1284"/>
      <c r="I2" s="1284"/>
      <c r="J2" s="1284"/>
      <c r="K2" s="1285"/>
      <c r="L2" s="1285"/>
      <c r="M2" s="1285"/>
      <c r="N2" s="1286"/>
    </row>
    <row r="3" spans="1:14" ht="12.75">
      <c r="A3" s="903" t="s">
        <v>817</v>
      </c>
      <c r="B3" s="380" t="s">
        <v>496</v>
      </c>
      <c r="C3" s="380" t="s">
        <v>497</v>
      </c>
      <c r="D3" s="380" t="s">
        <v>498</v>
      </c>
      <c r="E3" s="380" t="s">
        <v>499</v>
      </c>
      <c r="F3" s="380" t="s">
        <v>93</v>
      </c>
      <c r="G3" s="380" t="s">
        <v>500</v>
      </c>
      <c r="H3" s="380" t="s">
        <v>501</v>
      </c>
      <c r="I3" s="380" t="s">
        <v>502</v>
      </c>
      <c r="J3" s="380" t="s">
        <v>567</v>
      </c>
      <c r="K3" s="380" t="s">
        <v>733</v>
      </c>
      <c r="L3" s="380" t="s">
        <v>734</v>
      </c>
      <c r="M3" s="380" t="s">
        <v>735</v>
      </c>
      <c r="N3" s="904" t="s">
        <v>164</v>
      </c>
    </row>
    <row r="4" spans="1:14" ht="12.75">
      <c r="A4" s="1082">
        <v>1</v>
      </c>
      <c r="B4" s="1084">
        <v>58.972000000000094</v>
      </c>
      <c r="C4" s="1084">
        <v>-29.671000000000134</v>
      </c>
      <c r="D4" s="1084">
        <v>-158.39200000000005</v>
      </c>
      <c r="E4" s="1084">
        <v>26.706999999999994</v>
      </c>
      <c r="F4" s="1084">
        <v>379.87099999999975</v>
      </c>
      <c r="G4" s="1084">
        <v>-35.11999999999998</v>
      </c>
      <c r="H4" s="1085">
        <v>157.53700000000003</v>
      </c>
      <c r="I4" s="1085">
        <v>-12.071999999999889</v>
      </c>
      <c r="J4" s="381"/>
      <c r="K4" s="381"/>
      <c r="L4" s="381"/>
      <c r="M4" s="381"/>
      <c r="N4" s="1012">
        <f aca="true" t="shared" si="0" ref="N4:N35">SUM(B4:M4)</f>
        <v>387.83199999999977</v>
      </c>
    </row>
    <row r="5" spans="1:14" ht="12.75">
      <c r="A5" s="1082">
        <v>2</v>
      </c>
      <c r="B5" s="1084">
        <v>53.705999999999904</v>
      </c>
      <c r="C5" s="1084">
        <v>461.011</v>
      </c>
      <c r="D5" s="1084">
        <v>-41.10299999999991</v>
      </c>
      <c r="E5" s="1084">
        <v>-1.6209999999999312</v>
      </c>
      <c r="F5" s="1084">
        <v>95.11800000000008</v>
      </c>
      <c r="G5" s="1084">
        <v>-182.78100000000003</v>
      </c>
      <c r="H5" s="1085">
        <v>63.97099999999995</v>
      </c>
      <c r="I5" s="1085">
        <v>84.34199999999987</v>
      </c>
      <c r="J5" s="381"/>
      <c r="K5" s="381"/>
      <c r="L5" s="381"/>
      <c r="M5" s="381"/>
      <c r="N5" s="1012">
        <f t="shared" si="0"/>
        <v>532.6429999999998</v>
      </c>
    </row>
    <row r="6" spans="1:14" ht="12.75">
      <c r="A6" s="1082">
        <v>3</v>
      </c>
      <c r="B6" s="1084">
        <v>30.232999999999777</v>
      </c>
      <c r="C6" s="1084">
        <v>380.5239999999999</v>
      </c>
      <c r="D6" s="1084">
        <v>-110.88500000000002</v>
      </c>
      <c r="E6" s="1084">
        <v>-52.81299999999989</v>
      </c>
      <c r="F6" s="1084">
        <v>25.828000000000003</v>
      </c>
      <c r="G6" s="1084">
        <v>-213.00100000000003</v>
      </c>
      <c r="H6" s="1085">
        <v>188.2539999999998</v>
      </c>
      <c r="I6" s="1085">
        <v>-66.82899999999984</v>
      </c>
      <c r="J6" s="381"/>
      <c r="K6" s="381"/>
      <c r="L6" s="381"/>
      <c r="M6" s="381"/>
      <c r="N6" s="1012">
        <f t="shared" si="0"/>
        <v>181.31099999999964</v>
      </c>
    </row>
    <row r="7" spans="1:14" ht="12.75">
      <c r="A7" s="1082">
        <v>4</v>
      </c>
      <c r="B7" s="1084">
        <v>77.87500000000011</v>
      </c>
      <c r="C7" s="1084">
        <v>617.815</v>
      </c>
      <c r="D7" s="1084">
        <v>-101.19400000000006</v>
      </c>
      <c r="E7" s="1084">
        <v>-68.34599999999999</v>
      </c>
      <c r="F7" s="1084">
        <v>75.3659999999999</v>
      </c>
      <c r="G7" s="1084">
        <v>-525.3480000000002</v>
      </c>
      <c r="H7" s="1085">
        <v>188.06199999999984</v>
      </c>
      <c r="I7" s="1085">
        <v>3.520000000000323</v>
      </c>
      <c r="J7" s="381"/>
      <c r="K7" s="381"/>
      <c r="L7" s="381"/>
      <c r="M7" s="381"/>
      <c r="N7" s="1012">
        <f t="shared" si="0"/>
        <v>267.74999999999994</v>
      </c>
    </row>
    <row r="8" spans="1:14" ht="12.75">
      <c r="A8" s="1082">
        <v>5</v>
      </c>
      <c r="B8" s="1084">
        <v>9.646000000000015</v>
      </c>
      <c r="C8" s="1084">
        <v>546.539</v>
      </c>
      <c r="D8" s="1084">
        <v>-208.7659999999999</v>
      </c>
      <c r="E8" s="1084">
        <v>-44.080999999999946</v>
      </c>
      <c r="F8" s="1084">
        <v>8.182999999999964</v>
      </c>
      <c r="G8" s="1084">
        <v>-180.45600000000002</v>
      </c>
      <c r="H8" s="1085">
        <v>166.20900000000006</v>
      </c>
      <c r="I8" s="1085">
        <v>-125.31200000000024</v>
      </c>
      <c r="J8" s="381"/>
      <c r="K8" s="381"/>
      <c r="L8" s="381"/>
      <c r="M8" s="381"/>
      <c r="N8" s="1012">
        <f t="shared" si="0"/>
        <v>171.96199999999988</v>
      </c>
    </row>
    <row r="9" spans="1:14" ht="12.75">
      <c r="A9" s="1082">
        <v>6</v>
      </c>
      <c r="B9" s="1084">
        <v>72.81199999999995</v>
      </c>
      <c r="C9" s="1084">
        <v>581.9849999999999</v>
      </c>
      <c r="D9" s="1084">
        <v>-76.21599999999997</v>
      </c>
      <c r="E9" s="1084">
        <v>-56.02800000000009</v>
      </c>
      <c r="F9" s="1084">
        <v>170.89199999999994</v>
      </c>
      <c r="G9" s="1084">
        <v>-215.06899999999996</v>
      </c>
      <c r="H9" s="1085">
        <v>71.05799999999994</v>
      </c>
      <c r="I9" s="1085">
        <v>45.72700000000009</v>
      </c>
      <c r="J9" s="381"/>
      <c r="K9" s="381"/>
      <c r="L9" s="381"/>
      <c r="M9" s="381"/>
      <c r="N9" s="1012">
        <f t="shared" si="0"/>
        <v>595.1609999999996</v>
      </c>
    </row>
    <row r="10" spans="1:14" ht="12.75">
      <c r="A10" s="1082">
        <v>7</v>
      </c>
      <c r="B10" s="1084">
        <v>85.78300000000002</v>
      </c>
      <c r="C10" s="1084">
        <v>832.2850000000001</v>
      </c>
      <c r="D10" s="1084">
        <v>-143.25000000000006</v>
      </c>
      <c r="E10" s="1084">
        <v>-35.839</v>
      </c>
      <c r="F10" s="1084">
        <v>409.4049999999997</v>
      </c>
      <c r="G10" s="1084">
        <v>-191.258</v>
      </c>
      <c r="H10" s="1085">
        <v>-33.42500000000007</v>
      </c>
      <c r="I10" s="1085">
        <v>-94.21100000000035</v>
      </c>
      <c r="J10" s="381"/>
      <c r="K10" s="381"/>
      <c r="L10" s="381"/>
      <c r="M10" s="381"/>
      <c r="N10" s="1012">
        <f t="shared" si="0"/>
        <v>829.4899999999993</v>
      </c>
    </row>
    <row r="11" spans="1:14" ht="12.75">
      <c r="A11" s="1082">
        <v>8</v>
      </c>
      <c r="B11" s="1084">
        <v>47.35799999999992</v>
      </c>
      <c r="C11" s="1084">
        <v>746.4680000000001</v>
      </c>
      <c r="D11" s="1084">
        <v>-90.98600000000013</v>
      </c>
      <c r="E11" s="1084">
        <v>-1.5480000000000587</v>
      </c>
      <c r="F11" s="1084">
        <v>246.046</v>
      </c>
      <c r="G11" s="1084">
        <v>-206.3230000000001</v>
      </c>
      <c r="H11" s="1085">
        <v>33.84999999999985</v>
      </c>
      <c r="I11" s="1085">
        <v>-81.81899999999996</v>
      </c>
      <c r="J11" s="381"/>
      <c r="K11" s="381"/>
      <c r="L11" s="381"/>
      <c r="M11" s="381"/>
      <c r="N11" s="1012">
        <f t="shared" si="0"/>
        <v>693.0459999999998</v>
      </c>
    </row>
    <row r="12" spans="1:14" ht="12.75">
      <c r="A12" s="1082">
        <v>9</v>
      </c>
      <c r="B12" s="1084">
        <v>34.08199999999994</v>
      </c>
      <c r="C12" s="1084">
        <v>45.005000000000365</v>
      </c>
      <c r="D12" s="1084">
        <v>-64.47899999999993</v>
      </c>
      <c r="E12" s="1084">
        <v>4.51099999999996</v>
      </c>
      <c r="F12" s="1084">
        <v>34.663000000000125</v>
      </c>
      <c r="G12" s="1084">
        <v>-63.88000000000002</v>
      </c>
      <c r="H12" s="1085">
        <v>-98.11899999999991</v>
      </c>
      <c r="I12" s="1085">
        <v>-58.775000000000034</v>
      </c>
      <c r="J12" s="381"/>
      <c r="K12" s="381"/>
      <c r="L12" s="381"/>
      <c r="M12" s="381"/>
      <c r="N12" s="1012">
        <f t="shared" si="0"/>
        <v>-166.9919999999995</v>
      </c>
    </row>
    <row r="13" spans="1:14" ht="12.75">
      <c r="A13" s="1082">
        <v>10</v>
      </c>
      <c r="B13" s="1084">
        <v>29.34000000000026</v>
      </c>
      <c r="C13" s="1084">
        <v>-63.0169999999998</v>
      </c>
      <c r="D13" s="1084">
        <v>-69.16600000000011</v>
      </c>
      <c r="E13" s="1084">
        <v>-15.741999999999948</v>
      </c>
      <c r="F13" s="1084">
        <v>71.7239999999999</v>
      </c>
      <c r="G13" s="1084">
        <v>-65.59299999999999</v>
      </c>
      <c r="H13" s="1085">
        <v>-150.38800000000015</v>
      </c>
      <c r="I13" s="1085">
        <v>-96.63399999999979</v>
      </c>
      <c r="J13" s="381"/>
      <c r="K13" s="381"/>
      <c r="L13" s="381"/>
      <c r="M13" s="381"/>
      <c r="N13" s="1012">
        <f t="shared" si="0"/>
        <v>-359.4759999999996</v>
      </c>
    </row>
    <row r="14" spans="1:14" ht="12.75">
      <c r="A14" s="1082">
        <v>11</v>
      </c>
      <c r="B14" s="1084">
        <v>-254.53999999999994</v>
      </c>
      <c r="C14" s="1084">
        <v>103.40699999999975</v>
      </c>
      <c r="D14" s="1084">
        <v>-24.936000000000092</v>
      </c>
      <c r="E14" s="1084">
        <v>-32.35599999999997</v>
      </c>
      <c r="F14" s="1084">
        <v>22.768000000000228</v>
      </c>
      <c r="G14" s="1084">
        <v>-66.61500000000001</v>
      </c>
      <c r="H14" s="1085">
        <v>41.07599999999991</v>
      </c>
      <c r="I14" s="1085">
        <v>-87.2049999999997</v>
      </c>
      <c r="J14" s="381"/>
      <c r="K14" s="381"/>
      <c r="L14" s="381"/>
      <c r="M14" s="381"/>
      <c r="N14" s="1012">
        <f t="shared" si="0"/>
        <v>-298.40099999999984</v>
      </c>
    </row>
    <row r="15" spans="1:14" ht="12.75">
      <c r="A15" s="1082">
        <v>12</v>
      </c>
      <c r="B15" s="1084">
        <v>-91.21900000000008</v>
      </c>
      <c r="C15" s="1084">
        <v>21.49899999999991</v>
      </c>
      <c r="D15" s="1084">
        <v>-223.29599999999994</v>
      </c>
      <c r="E15" s="1084">
        <v>-23.531999999999968</v>
      </c>
      <c r="F15" s="1084">
        <v>161.24799999999993</v>
      </c>
      <c r="G15" s="1084">
        <v>2.1890000000001066</v>
      </c>
      <c r="H15" s="1085">
        <v>105.85099999999989</v>
      </c>
      <c r="I15" s="1085">
        <v>131.63900000000024</v>
      </c>
      <c r="J15" s="381"/>
      <c r="K15" s="381"/>
      <c r="L15" s="381"/>
      <c r="M15" s="381"/>
      <c r="N15" s="1012">
        <f t="shared" si="0"/>
        <v>84.3790000000001</v>
      </c>
    </row>
    <row r="16" spans="1:14" ht="12.75">
      <c r="A16" s="1082">
        <v>13</v>
      </c>
      <c r="B16" s="1084">
        <v>-252.75300000000013</v>
      </c>
      <c r="C16" s="1084">
        <v>22.9140000000001</v>
      </c>
      <c r="D16" s="1084">
        <v>-34.05000000000001</v>
      </c>
      <c r="E16" s="1084">
        <v>-23.753999999999962</v>
      </c>
      <c r="F16" s="1084">
        <v>105.87200000000018</v>
      </c>
      <c r="G16" s="1084">
        <v>-4.091000000000058</v>
      </c>
      <c r="H16" s="1085">
        <v>-15.949999999999989</v>
      </c>
      <c r="I16" s="1085">
        <v>1807.824</v>
      </c>
      <c r="J16" s="381"/>
      <c r="K16" s="381"/>
      <c r="L16" s="381"/>
      <c r="M16" s="381"/>
      <c r="N16" s="1012">
        <f t="shared" si="0"/>
        <v>1606.0120000000002</v>
      </c>
    </row>
    <row r="17" spans="1:14" ht="12.75">
      <c r="A17" s="1082">
        <v>14</v>
      </c>
      <c r="B17" s="1084">
        <v>168.573</v>
      </c>
      <c r="C17" s="1084">
        <v>-73.84800000000001</v>
      </c>
      <c r="D17" s="1084">
        <v>-31.572000000000074</v>
      </c>
      <c r="E17" s="1084">
        <v>-42.26599999999999</v>
      </c>
      <c r="F17" s="1084">
        <v>139.61499999999984</v>
      </c>
      <c r="G17" s="1084">
        <v>-70.15400000000008</v>
      </c>
      <c r="H17" s="1085">
        <v>37.48699999999974</v>
      </c>
      <c r="I17" s="1085">
        <v>595.2189999999998</v>
      </c>
      <c r="J17" s="381"/>
      <c r="K17" s="381"/>
      <c r="L17" s="381"/>
      <c r="M17" s="381"/>
      <c r="N17" s="1012">
        <f t="shared" si="0"/>
        <v>723.0539999999993</v>
      </c>
    </row>
    <row r="18" spans="1:14" ht="12.75">
      <c r="A18" s="1082">
        <v>15</v>
      </c>
      <c r="B18" s="1084">
        <v>44.13199999999992</v>
      </c>
      <c r="C18" s="1084">
        <v>37.16200000000015</v>
      </c>
      <c r="D18" s="1084">
        <v>-65.24500000000002</v>
      </c>
      <c r="E18" s="1084">
        <v>-38.87100000000015</v>
      </c>
      <c r="F18" s="1084">
        <v>49.348000000000155</v>
      </c>
      <c r="G18" s="1084">
        <v>-152.73899999999986</v>
      </c>
      <c r="H18" s="1085">
        <v>-140.54899999999998</v>
      </c>
      <c r="I18" s="1085">
        <v>337.16999999999985</v>
      </c>
      <c r="J18" s="381"/>
      <c r="K18" s="381"/>
      <c r="L18" s="381"/>
      <c r="M18" s="381"/>
      <c r="N18" s="1012">
        <f t="shared" si="0"/>
        <v>70.40800000000007</v>
      </c>
    </row>
    <row r="19" spans="1:14" ht="12.75">
      <c r="A19" s="1082">
        <v>16</v>
      </c>
      <c r="B19" s="1084">
        <v>163.58099999999985</v>
      </c>
      <c r="C19" s="1084">
        <v>-136.761</v>
      </c>
      <c r="D19" s="1084">
        <v>42.52299999999988</v>
      </c>
      <c r="E19" s="1084">
        <v>-15.839000000000112</v>
      </c>
      <c r="F19" s="1084">
        <v>88.51799999999983</v>
      </c>
      <c r="G19" s="1084">
        <v>-15.333999999999861</v>
      </c>
      <c r="H19" s="1085">
        <v>25.235999999999706</v>
      </c>
      <c r="I19" s="1085">
        <v>173.79700000000025</v>
      </c>
      <c r="J19" s="381"/>
      <c r="K19" s="381"/>
      <c r="L19" s="381"/>
      <c r="M19" s="381"/>
      <c r="N19" s="1012">
        <f t="shared" si="0"/>
        <v>325.72099999999955</v>
      </c>
    </row>
    <row r="20" spans="1:14" ht="12.75">
      <c r="A20" s="1082">
        <v>17</v>
      </c>
      <c r="B20" s="1084">
        <v>99.44699999999997</v>
      </c>
      <c r="C20" s="1084">
        <v>-91.29599999999996</v>
      </c>
      <c r="D20" s="1084">
        <v>60.637999999999934</v>
      </c>
      <c r="E20" s="1084">
        <v>-3.790000000000113</v>
      </c>
      <c r="F20" s="1084">
        <v>81.51700000000017</v>
      </c>
      <c r="G20" s="1084">
        <v>-18.25899999999993</v>
      </c>
      <c r="H20" s="1085">
        <v>27.815999999999747</v>
      </c>
      <c r="I20" s="1085">
        <v>195.7550000000001</v>
      </c>
      <c r="J20" s="381"/>
      <c r="K20" s="381"/>
      <c r="L20" s="381"/>
      <c r="M20" s="381"/>
      <c r="N20" s="1012">
        <f t="shared" si="0"/>
        <v>351.8279999999999</v>
      </c>
    </row>
    <row r="21" spans="1:14" ht="12.75">
      <c r="A21" s="1082">
        <v>18</v>
      </c>
      <c r="B21" s="1084">
        <v>110.40099999999998</v>
      </c>
      <c r="C21" s="1084">
        <v>-63.884999999999906</v>
      </c>
      <c r="D21" s="1084">
        <v>5.020000000000024</v>
      </c>
      <c r="E21" s="1084">
        <v>-10.470999999999897</v>
      </c>
      <c r="F21" s="1084">
        <v>-88.625</v>
      </c>
      <c r="G21" s="1084">
        <v>126.77300000000017</v>
      </c>
      <c r="H21" s="1085">
        <v>-102.9720000000001</v>
      </c>
      <c r="I21" s="1085">
        <v>116.32499999999982</v>
      </c>
      <c r="J21" s="381"/>
      <c r="K21" s="381"/>
      <c r="L21" s="381"/>
      <c r="M21" s="381"/>
      <c r="N21" s="1012">
        <f t="shared" si="0"/>
        <v>92.56600000000009</v>
      </c>
    </row>
    <row r="22" spans="1:14" ht="12.75">
      <c r="A22" s="1082">
        <v>19</v>
      </c>
      <c r="B22" s="1084">
        <v>152.8079999999998</v>
      </c>
      <c r="C22" s="1084">
        <v>-276.68800000000016</v>
      </c>
      <c r="D22" s="1084">
        <v>16.975000000000023</v>
      </c>
      <c r="E22" s="1084">
        <v>7.787999999999968</v>
      </c>
      <c r="F22" s="1084">
        <v>-80.99000000000007</v>
      </c>
      <c r="G22" s="1084">
        <v>117.91999999999993</v>
      </c>
      <c r="H22" s="1085">
        <v>-93.57200000000029</v>
      </c>
      <c r="I22" s="1085">
        <v>251.26499999999987</v>
      </c>
      <c r="J22" s="381"/>
      <c r="K22" s="381"/>
      <c r="L22" s="381"/>
      <c r="M22" s="381"/>
      <c r="N22" s="1012">
        <f t="shared" si="0"/>
        <v>95.50599999999909</v>
      </c>
    </row>
    <row r="23" spans="1:14" ht="12.75">
      <c r="A23" s="1082">
        <v>20</v>
      </c>
      <c r="B23" s="1084">
        <v>152.86099999999996</v>
      </c>
      <c r="C23" s="1084">
        <v>-83.85399999999997</v>
      </c>
      <c r="D23" s="1084">
        <v>-10.821000000000083</v>
      </c>
      <c r="E23" s="1084">
        <v>-68.0630000000001</v>
      </c>
      <c r="F23" s="1084">
        <v>-92.66499999999985</v>
      </c>
      <c r="G23" s="1084">
        <v>-29.524999999999977</v>
      </c>
      <c r="H23" s="1085">
        <v>-77.18999999999977</v>
      </c>
      <c r="I23" s="1085">
        <v>-177.1400000000002</v>
      </c>
      <c r="J23" s="381"/>
      <c r="K23" s="381"/>
      <c r="L23" s="381"/>
      <c r="M23" s="381"/>
      <c r="N23" s="1012">
        <f t="shared" si="0"/>
        <v>-386.397</v>
      </c>
    </row>
    <row r="24" spans="1:14" ht="12.75">
      <c r="A24" s="1082">
        <v>21</v>
      </c>
      <c r="B24" s="1084">
        <v>152.76599999999982</v>
      </c>
      <c r="C24" s="1084">
        <v>-68.78200000000004</v>
      </c>
      <c r="D24" s="1084">
        <v>-19.07499999999986</v>
      </c>
      <c r="E24" s="1084">
        <v>-56.812999999999995</v>
      </c>
      <c r="F24" s="1084">
        <v>-172.94799999999998</v>
      </c>
      <c r="G24" s="1084">
        <v>-208.12999999999994</v>
      </c>
      <c r="H24" s="1085">
        <v>4.53899999999993</v>
      </c>
      <c r="I24" s="1085">
        <v>328.1659999999998</v>
      </c>
      <c r="J24" s="381"/>
      <c r="K24" s="381"/>
      <c r="L24" s="381"/>
      <c r="M24" s="381"/>
      <c r="N24" s="1012">
        <f t="shared" si="0"/>
        <v>-40.277000000000214</v>
      </c>
    </row>
    <row r="25" spans="1:14" ht="12.75">
      <c r="A25" s="1082">
        <v>22</v>
      </c>
      <c r="B25" s="1084">
        <v>62.56999999999991</v>
      </c>
      <c r="C25" s="1084">
        <v>-53.44900000000007</v>
      </c>
      <c r="D25" s="1084">
        <v>107.20899999999993</v>
      </c>
      <c r="E25" s="1084">
        <v>-23.205000000000112</v>
      </c>
      <c r="F25" s="1084">
        <v>-124.79499999999999</v>
      </c>
      <c r="G25" s="1084">
        <v>-244.5719999999998</v>
      </c>
      <c r="H25" s="1085">
        <v>37.041000000000054</v>
      </c>
      <c r="I25" s="1085">
        <v>353.702</v>
      </c>
      <c r="J25" s="381"/>
      <c r="K25" s="381"/>
      <c r="L25" s="381"/>
      <c r="M25" s="381"/>
      <c r="N25" s="1012">
        <f t="shared" si="0"/>
        <v>114.50099999999992</v>
      </c>
    </row>
    <row r="26" spans="1:14" ht="12.75">
      <c r="A26" s="1082">
        <v>23</v>
      </c>
      <c r="B26" s="1084">
        <v>162.22100000000012</v>
      </c>
      <c r="C26" s="1084">
        <v>17.76699999999994</v>
      </c>
      <c r="D26" s="1084">
        <v>37.980999999999995</v>
      </c>
      <c r="E26" s="1084">
        <v>-23.886999999999944</v>
      </c>
      <c r="F26" s="1084">
        <v>-174.3789999999999</v>
      </c>
      <c r="G26" s="1084">
        <v>-69.22599999999996</v>
      </c>
      <c r="H26" s="1085">
        <v>29.073999999999728</v>
      </c>
      <c r="I26" s="1085">
        <v>367.4769999999998</v>
      </c>
      <c r="J26" s="381"/>
      <c r="K26" s="381"/>
      <c r="L26" s="381"/>
      <c r="M26" s="381"/>
      <c r="N26" s="1012">
        <f t="shared" si="0"/>
        <v>347.0279999999998</v>
      </c>
    </row>
    <row r="27" spans="1:14" ht="12.75">
      <c r="A27" s="1082">
        <v>24</v>
      </c>
      <c r="B27" s="1084">
        <v>160.50399999999996</v>
      </c>
      <c r="C27" s="1084">
        <v>69.98800000000003</v>
      </c>
      <c r="D27" s="1084">
        <v>-19.4230000000001</v>
      </c>
      <c r="E27" s="1084">
        <v>-53.07999999999988</v>
      </c>
      <c r="F27" s="1084">
        <v>-120.34799999999996</v>
      </c>
      <c r="G27" s="1084">
        <v>45.74300000000001</v>
      </c>
      <c r="H27" s="1085">
        <v>-13.64400000000029</v>
      </c>
      <c r="I27" s="1085">
        <v>362.2119999999998</v>
      </c>
      <c r="J27" s="381"/>
      <c r="K27" s="381"/>
      <c r="L27" s="381"/>
      <c r="M27" s="381"/>
      <c r="N27" s="1012">
        <f t="shared" si="0"/>
        <v>431.9519999999996</v>
      </c>
    </row>
    <row r="28" spans="1:14" ht="12.75">
      <c r="A28" s="1082">
        <v>25</v>
      </c>
      <c r="B28" s="1084">
        <v>196.06800000000013</v>
      </c>
      <c r="C28" s="1084">
        <v>-40.95399999999998</v>
      </c>
      <c r="D28" s="1084">
        <v>15.177000000000078</v>
      </c>
      <c r="E28" s="1084">
        <v>1.0109999999999175</v>
      </c>
      <c r="F28" s="1084">
        <v>-395.187</v>
      </c>
      <c r="G28" s="1084">
        <v>47.66800000000005</v>
      </c>
      <c r="H28" s="1085">
        <v>-27.172000000000025</v>
      </c>
      <c r="I28" s="1085">
        <v>54.36600000000021</v>
      </c>
      <c r="J28" s="381"/>
      <c r="K28" s="381"/>
      <c r="L28" s="381"/>
      <c r="M28" s="381"/>
      <c r="N28" s="1012">
        <f t="shared" si="0"/>
        <v>-149.02299999999963</v>
      </c>
    </row>
    <row r="29" spans="1:14" ht="12.75">
      <c r="A29" s="1082">
        <v>26</v>
      </c>
      <c r="B29" s="1084">
        <v>-1106.914</v>
      </c>
      <c r="C29" s="1084">
        <v>599.1320000000003</v>
      </c>
      <c r="D29" s="1084">
        <v>51.13200000000003</v>
      </c>
      <c r="E29" s="1084">
        <v>-32.343</v>
      </c>
      <c r="F29" s="1084">
        <v>368.111</v>
      </c>
      <c r="G29" s="1084">
        <v>-18.953000000000074</v>
      </c>
      <c r="H29" s="1085">
        <v>-16.129999999999825</v>
      </c>
      <c r="I29" s="1085">
        <v>382.9580000000001</v>
      </c>
      <c r="J29" s="381"/>
      <c r="K29" s="381"/>
      <c r="L29" s="381"/>
      <c r="M29" s="381"/>
      <c r="N29" s="1012">
        <f t="shared" si="0"/>
        <v>226.9930000000005</v>
      </c>
    </row>
    <row r="30" spans="1:14" ht="12.75">
      <c r="A30" s="1082">
        <v>27</v>
      </c>
      <c r="B30" s="1084">
        <v>-879.3520000000001</v>
      </c>
      <c r="C30" s="1084">
        <v>330.444</v>
      </c>
      <c r="D30" s="1084">
        <v>26.44199999999995</v>
      </c>
      <c r="E30" s="1084">
        <v>36.279999999999845</v>
      </c>
      <c r="F30" s="1084">
        <v>511.91600000000017</v>
      </c>
      <c r="G30" s="1084">
        <v>-279.2590000000001</v>
      </c>
      <c r="H30" s="1085">
        <v>-15.265999999999849</v>
      </c>
      <c r="I30" s="1085">
        <v>156.07500000000016</v>
      </c>
      <c r="J30" s="381"/>
      <c r="K30" s="381"/>
      <c r="L30" s="381"/>
      <c r="M30" s="381"/>
      <c r="N30" s="1012">
        <f t="shared" si="0"/>
        <v>-112.71999999999991</v>
      </c>
    </row>
    <row r="31" spans="1:14" ht="12.75">
      <c r="A31" s="1082">
        <v>28</v>
      </c>
      <c r="B31" s="1084">
        <v>-465.771</v>
      </c>
      <c r="C31" s="1084">
        <v>299.51000000000005</v>
      </c>
      <c r="D31" s="1084">
        <v>-10.720999999999975</v>
      </c>
      <c r="E31" s="1084">
        <v>-40.552999999999955</v>
      </c>
      <c r="F31" s="1084">
        <v>353.2570000000001</v>
      </c>
      <c r="G31" s="1084">
        <v>172.20199999999997</v>
      </c>
      <c r="H31" s="1085">
        <v>28.054999999999836</v>
      </c>
      <c r="I31" s="1085">
        <v>161.7900000000003</v>
      </c>
      <c r="J31" s="381"/>
      <c r="K31" s="381"/>
      <c r="L31" s="381"/>
      <c r="M31" s="381"/>
      <c r="N31" s="1012">
        <f t="shared" si="0"/>
        <v>497.76900000000035</v>
      </c>
    </row>
    <row r="32" spans="1:14" ht="12.75">
      <c r="A32" s="1082">
        <v>29</v>
      </c>
      <c r="B32" s="1084">
        <v>-999.836</v>
      </c>
      <c r="C32" s="1084">
        <v>0</v>
      </c>
      <c r="D32" s="1084">
        <v>50.51400000000012</v>
      </c>
      <c r="E32" s="1084">
        <v>-10.362000000000066</v>
      </c>
      <c r="F32" s="1084">
        <v>248.89399999999992</v>
      </c>
      <c r="G32" s="1084">
        <v>119.2519999999999</v>
      </c>
      <c r="H32" s="1085">
        <v>-37.236999999999966</v>
      </c>
      <c r="I32" s="1085">
        <v>216.37300000000016</v>
      </c>
      <c r="J32" s="381"/>
      <c r="K32" s="381"/>
      <c r="L32" s="381"/>
      <c r="M32" s="381"/>
      <c r="N32" s="1012">
        <f t="shared" si="0"/>
        <v>-412.40200000000004</v>
      </c>
    </row>
    <row r="33" spans="1:14" ht="12.75">
      <c r="A33" s="1082">
        <v>30</v>
      </c>
      <c r="B33" s="1084">
        <v>-353.45000000000016</v>
      </c>
      <c r="C33" s="1084">
        <v>0</v>
      </c>
      <c r="D33" s="1084">
        <v>11.975000000000051</v>
      </c>
      <c r="E33" s="1084">
        <v>21.497999999999948</v>
      </c>
      <c r="F33" s="1084">
        <v>6.957000000000249</v>
      </c>
      <c r="G33" s="1084">
        <v>181.7290000000002</v>
      </c>
      <c r="H33" s="1085">
        <v>94.70999999999987</v>
      </c>
      <c r="I33" s="1085">
        <v>269.55100000000004</v>
      </c>
      <c r="J33" s="381"/>
      <c r="K33" s="381"/>
      <c r="L33" s="381"/>
      <c r="M33" s="381"/>
      <c r="N33" s="1012">
        <f t="shared" si="0"/>
        <v>232.97000000000014</v>
      </c>
    </row>
    <row r="34" spans="1:14" ht="12.75">
      <c r="A34" s="1082">
        <v>31</v>
      </c>
      <c r="B34" s="1084">
        <v>-40.74999999999994</v>
      </c>
      <c r="C34" s="1084">
        <v>0</v>
      </c>
      <c r="D34" s="1084">
        <v>71.74199999999989</v>
      </c>
      <c r="E34" s="1084">
        <v>0</v>
      </c>
      <c r="F34" s="1084">
        <v>-66.64700000000013</v>
      </c>
      <c r="G34" s="1084">
        <v>0</v>
      </c>
      <c r="H34" s="1085">
        <v>32.57000000000005</v>
      </c>
      <c r="I34" s="1085">
        <v>279.0500000000003</v>
      </c>
      <c r="J34" s="381"/>
      <c r="K34" s="381"/>
      <c r="L34" s="381"/>
      <c r="M34" s="381"/>
      <c r="N34" s="1012">
        <f t="shared" si="0"/>
        <v>275.96500000000015</v>
      </c>
    </row>
    <row r="35" spans="1:14" ht="13.5" thickBot="1">
      <c r="A35" s="1083" t="s">
        <v>17</v>
      </c>
      <c r="B35" s="1086">
        <v>-2318.846000000001</v>
      </c>
      <c r="C35" s="1086">
        <v>4731.250000000001</v>
      </c>
      <c r="D35" s="1086">
        <v>-1006.2480000000003</v>
      </c>
      <c r="E35" s="1086">
        <v>-677.4080000000005</v>
      </c>
      <c r="F35" s="1086">
        <v>2338.5329999999994</v>
      </c>
      <c r="G35" s="1086">
        <v>-2242.21</v>
      </c>
      <c r="H35" s="1087">
        <v>510.78199999999777</v>
      </c>
      <c r="I35" s="1087">
        <v>5874.306000000001</v>
      </c>
      <c r="J35" s="905"/>
      <c r="K35" s="905"/>
      <c r="L35" s="905"/>
      <c r="M35" s="905"/>
      <c r="N35" s="1013">
        <f t="shared" si="0"/>
        <v>7210.158999999998</v>
      </c>
    </row>
    <row r="37" spans="10:14" ht="12.75">
      <c r="J37" s="1017" t="s">
        <v>447</v>
      </c>
      <c r="K37" s="1017"/>
      <c r="L37" s="1017"/>
      <c r="M37" s="1017"/>
      <c r="N37" s="1017"/>
    </row>
  </sheetData>
  <sheetProtection/>
  <mergeCells count="3">
    <mergeCell ref="A2:C2"/>
    <mergeCell ref="A1:N1"/>
    <mergeCell ref="D2:N2"/>
  </mergeCells>
  <printOptions/>
  <pageMargins left="0.25" right="0.25" top="0.75" bottom="0.75" header="0.3" footer="0.3"/>
  <pageSetup orientation="portrait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27"/>
  <sheetViews>
    <sheetView view="pageBreakPreview" zoomScaleSheetLayoutView="100" zoomScalePageLayoutView="0" workbookViewId="0" topLeftCell="A1">
      <selection activeCell="V7" sqref="V7"/>
    </sheetView>
  </sheetViews>
  <sheetFormatPr defaultColWidth="9.140625" defaultRowHeight="15"/>
  <cols>
    <col min="1" max="1" width="6.57421875" style="1" customWidth="1"/>
    <col min="2" max="2" width="20.421875" style="1" bestFit="1" customWidth="1"/>
    <col min="3" max="3" width="5.421875" style="1" bestFit="1" customWidth="1"/>
    <col min="4" max="7" width="6.28125" style="1" bestFit="1" customWidth="1"/>
    <col min="8" max="9" width="5.00390625" style="1" bestFit="1" customWidth="1"/>
    <col min="10" max="13" width="6.28125" style="1" bestFit="1" customWidth="1"/>
    <col min="14" max="15" width="5.00390625" style="1" bestFit="1" customWidth="1"/>
    <col min="16" max="19" width="6.28125" style="1" bestFit="1" customWidth="1"/>
    <col min="20" max="21" width="5.00390625" style="1" bestFit="1" customWidth="1"/>
    <col min="22" max="16384" width="9.140625" style="1" customWidth="1"/>
  </cols>
  <sheetData>
    <row r="1" spans="1:21" ht="30" customHeight="1">
      <c r="A1" s="1287" t="s">
        <v>818</v>
      </c>
      <c r="B1" s="1288"/>
      <c r="C1" s="1288"/>
      <c r="D1" s="1288"/>
      <c r="E1" s="1288"/>
      <c r="F1" s="1288"/>
      <c r="G1" s="1288"/>
      <c r="H1" s="1288"/>
      <c r="I1" s="1288"/>
      <c r="J1" s="1288"/>
      <c r="K1" s="1288"/>
      <c r="L1" s="1288"/>
      <c r="M1" s="1288"/>
      <c r="N1" s="1288"/>
      <c r="O1" s="1288"/>
      <c r="P1" s="1288"/>
      <c r="Q1" s="1288"/>
      <c r="R1" s="1288"/>
      <c r="S1" s="1288"/>
      <c r="T1" s="1288"/>
      <c r="U1" s="1289"/>
    </row>
    <row r="2" spans="1:21" ht="12.75">
      <c r="A2" s="1335" t="s">
        <v>819</v>
      </c>
      <c r="B2" s="1329" t="s">
        <v>820</v>
      </c>
      <c r="C2" s="1337" t="s">
        <v>821</v>
      </c>
      <c r="D2" s="1340" t="s">
        <v>822</v>
      </c>
      <c r="E2" s="1340"/>
      <c r="F2" s="1340"/>
      <c r="G2" s="1340"/>
      <c r="H2" s="1340"/>
      <c r="I2" s="1340"/>
      <c r="J2" s="1340" t="s">
        <v>823</v>
      </c>
      <c r="K2" s="1340"/>
      <c r="L2" s="1340"/>
      <c r="M2" s="1340"/>
      <c r="N2" s="1340"/>
      <c r="O2" s="1340"/>
      <c r="P2" s="1329" t="s">
        <v>124</v>
      </c>
      <c r="Q2" s="1329"/>
      <c r="R2" s="1329"/>
      <c r="S2" s="1329"/>
      <c r="T2" s="1329"/>
      <c r="U2" s="1330"/>
    </row>
    <row r="3" spans="1:21" ht="23.25" customHeight="1">
      <c r="A3" s="1335"/>
      <c r="B3" s="1329"/>
      <c r="C3" s="1338"/>
      <c r="D3" s="1333" t="s">
        <v>824</v>
      </c>
      <c r="E3" s="1333"/>
      <c r="F3" s="1334" t="s">
        <v>825</v>
      </c>
      <c r="G3" s="1334"/>
      <c r="H3" s="1331" t="s">
        <v>826</v>
      </c>
      <c r="I3" s="1332"/>
      <c r="J3" s="1333" t="s">
        <v>824</v>
      </c>
      <c r="K3" s="1333"/>
      <c r="L3" s="1334" t="s">
        <v>825</v>
      </c>
      <c r="M3" s="1334"/>
      <c r="N3" s="1331" t="s">
        <v>826</v>
      </c>
      <c r="O3" s="1332"/>
      <c r="P3" s="1333" t="s">
        <v>824</v>
      </c>
      <c r="Q3" s="1333"/>
      <c r="R3" s="1334" t="s">
        <v>825</v>
      </c>
      <c r="S3" s="1334"/>
      <c r="T3" s="1331" t="s">
        <v>826</v>
      </c>
      <c r="U3" s="1332"/>
    </row>
    <row r="4" spans="1:21" ht="30.75">
      <c r="A4" s="1335"/>
      <c r="B4" s="1329"/>
      <c r="C4" s="1339"/>
      <c r="D4" s="1088" t="s">
        <v>125</v>
      </c>
      <c r="E4" s="1088" t="s">
        <v>126</v>
      </c>
      <c r="F4" s="1089" t="s">
        <v>125</v>
      </c>
      <c r="G4" s="1089" t="s">
        <v>126</v>
      </c>
      <c r="H4" s="1090" t="s">
        <v>125</v>
      </c>
      <c r="I4" s="1090" t="s">
        <v>126</v>
      </c>
      <c r="J4" s="1088" t="s">
        <v>125</v>
      </c>
      <c r="K4" s="1088" t="s">
        <v>126</v>
      </c>
      <c r="L4" s="1089" t="s">
        <v>125</v>
      </c>
      <c r="M4" s="1089" t="s">
        <v>126</v>
      </c>
      <c r="N4" s="1090" t="s">
        <v>125</v>
      </c>
      <c r="O4" s="1090" t="s">
        <v>126</v>
      </c>
      <c r="P4" s="1088" t="s">
        <v>125</v>
      </c>
      <c r="Q4" s="1088" t="s">
        <v>126</v>
      </c>
      <c r="R4" s="1089" t="s">
        <v>125</v>
      </c>
      <c r="S4" s="1089" t="s">
        <v>126</v>
      </c>
      <c r="T4" s="1090" t="s">
        <v>125</v>
      </c>
      <c r="U4" s="1091" t="s">
        <v>126</v>
      </c>
    </row>
    <row r="5" spans="1:21" ht="60" customHeight="1" thickBot="1">
      <c r="A5" s="1336"/>
      <c r="B5" s="1337"/>
      <c r="C5" s="1092" t="s">
        <v>334</v>
      </c>
      <c r="D5" s="1093" t="s">
        <v>127</v>
      </c>
      <c r="E5" s="1093" t="s">
        <v>127</v>
      </c>
      <c r="F5" s="1094" t="s">
        <v>127</v>
      </c>
      <c r="G5" s="1094" t="s">
        <v>127</v>
      </c>
      <c r="H5" s="1095" t="s">
        <v>128</v>
      </c>
      <c r="I5" s="1095" t="s">
        <v>128</v>
      </c>
      <c r="J5" s="1093" t="s">
        <v>127</v>
      </c>
      <c r="K5" s="1093" t="s">
        <v>127</v>
      </c>
      <c r="L5" s="1094" t="s">
        <v>127</v>
      </c>
      <c r="M5" s="1094" t="s">
        <v>127</v>
      </c>
      <c r="N5" s="1095" t="s">
        <v>128</v>
      </c>
      <c r="O5" s="1095" t="s">
        <v>128</v>
      </c>
      <c r="P5" s="1093" t="s">
        <v>127</v>
      </c>
      <c r="Q5" s="1093" t="s">
        <v>127</v>
      </c>
      <c r="R5" s="1094" t="s">
        <v>127</v>
      </c>
      <c r="S5" s="1094" t="s">
        <v>127</v>
      </c>
      <c r="T5" s="1095" t="s">
        <v>128</v>
      </c>
      <c r="U5" s="1096" t="s">
        <v>128</v>
      </c>
    </row>
    <row r="6" spans="1:21" ht="12.75">
      <c r="A6" s="1298" t="s">
        <v>827</v>
      </c>
      <c r="B6" s="272" t="s">
        <v>335</v>
      </c>
      <c r="C6" s="273">
        <f>6576-1</f>
        <v>6575</v>
      </c>
      <c r="D6" s="274">
        <v>100</v>
      </c>
      <c r="E6" s="275">
        <v>100</v>
      </c>
      <c r="F6" s="275">
        <v>100</v>
      </c>
      <c r="G6" s="275">
        <v>100</v>
      </c>
      <c r="H6" s="276">
        <v>0.25</v>
      </c>
      <c r="I6" s="277">
        <v>0.45</v>
      </c>
      <c r="J6" s="278">
        <v>75</v>
      </c>
      <c r="K6" s="275">
        <v>75</v>
      </c>
      <c r="L6" s="275">
        <v>75</v>
      </c>
      <c r="M6" s="275">
        <v>75</v>
      </c>
      <c r="N6" s="276">
        <v>3.69</v>
      </c>
      <c r="O6" s="279">
        <v>0.25</v>
      </c>
      <c r="P6" s="1301"/>
      <c r="Q6" s="1302"/>
      <c r="R6" s="1302"/>
      <c r="S6" s="1302"/>
      <c r="T6" s="1302"/>
      <c r="U6" s="1303"/>
    </row>
    <row r="7" spans="1:21" ht="12.75">
      <c r="A7" s="1299"/>
      <c r="B7" s="280" t="s">
        <v>336</v>
      </c>
      <c r="C7" s="281">
        <v>360</v>
      </c>
      <c r="D7" s="282">
        <v>100</v>
      </c>
      <c r="E7" s="283">
        <v>100</v>
      </c>
      <c r="F7" s="283">
        <v>100</v>
      </c>
      <c r="G7" s="283">
        <v>100</v>
      </c>
      <c r="H7" s="284">
        <v>0.25</v>
      </c>
      <c r="I7" s="285">
        <v>0.45</v>
      </c>
      <c r="J7" s="1310"/>
      <c r="K7" s="1305"/>
      <c r="L7" s="1305"/>
      <c r="M7" s="1305"/>
      <c r="N7" s="1305"/>
      <c r="O7" s="1311"/>
      <c r="P7" s="1304"/>
      <c r="Q7" s="1305"/>
      <c r="R7" s="1305"/>
      <c r="S7" s="1305"/>
      <c r="T7" s="1305"/>
      <c r="U7" s="1306"/>
    </row>
    <row r="8" spans="1:21" ht="13.5" thickBot="1">
      <c r="A8" s="1300"/>
      <c r="B8" s="286" t="s">
        <v>337</v>
      </c>
      <c r="C8" s="287">
        <f>1824+1</f>
        <v>1825</v>
      </c>
      <c r="D8" s="288">
        <v>100</v>
      </c>
      <c r="E8" s="289">
        <v>100</v>
      </c>
      <c r="F8" s="289">
        <v>100</v>
      </c>
      <c r="G8" s="289">
        <v>100</v>
      </c>
      <c r="H8" s="290">
        <v>0.25</v>
      </c>
      <c r="I8" s="291">
        <v>0.45</v>
      </c>
      <c r="J8" s="292">
        <v>75</v>
      </c>
      <c r="K8" s="289">
        <v>75</v>
      </c>
      <c r="L8" s="289">
        <v>75</v>
      </c>
      <c r="M8" s="289">
        <v>75</v>
      </c>
      <c r="N8" s="290">
        <v>3.69</v>
      </c>
      <c r="O8" s="293">
        <v>0.25</v>
      </c>
      <c r="P8" s="1307"/>
      <c r="Q8" s="1308"/>
      <c r="R8" s="1308"/>
      <c r="S8" s="1308"/>
      <c r="T8" s="1308"/>
      <c r="U8" s="1309"/>
    </row>
    <row r="9" spans="1:21" ht="13.5" thickBot="1">
      <c r="A9" s="294" t="s">
        <v>496</v>
      </c>
      <c r="B9" s="295" t="s">
        <v>338</v>
      </c>
      <c r="C9" s="296">
        <f>31*24</f>
        <v>744</v>
      </c>
      <c r="D9" s="297">
        <v>100</v>
      </c>
      <c r="E9" s="298">
        <v>100</v>
      </c>
      <c r="F9" s="298">
        <v>100</v>
      </c>
      <c r="G9" s="298">
        <v>100</v>
      </c>
      <c r="H9" s="299">
        <v>0.13</v>
      </c>
      <c r="I9" s="300">
        <v>0.75</v>
      </c>
      <c r="J9" s="301">
        <v>50</v>
      </c>
      <c r="K9" s="298">
        <v>50</v>
      </c>
      <c r="L9" s="298">
        <v>50</v>
      </c>
      <c r="M9" s="298">
        <v>50</v>
      </c>
      <c r="N9" s="299">
        <v>3.35</v>
      </c>
      <c r="O9" s="302">
        <v>0.41</v>
      </c>
      <c r="P9" s="297">
        <v>125</v>
      </c>
      <c r="Q9" s="298">
        <v>125</v>
      </c>
      <c r="R9" s="298">
        <v>125</v>
      </c>
      <c r="S9" s="298">
        <v>125</v>
      </c>
      <c r="T9" s="299">
        <v>0.22</v>
      </c>
      <c r="U9" s="300">
        <v>0.87</v>
      </c>
    </row>
    <row r="10" spans="1:21" ht="13.5" thickBot="1">
      <c r="A10" s="294" t="s">
        <v>497</v>
      </c>
      <c r="B10" s="303" t="s">
        <v>339</v>
      </c>
      <c r="C10" s="304">
        <f>28*24</f>
        <v>672</v>
      </c>
      <c r="D10" s="305">
        <v>100</v>
      </c>
      <c r="E10" s="306">
        <v>100</v>
      </c>
      <c r="F10" s="306">
        <v>100</v>
      </c>
      <c r="G10" s="306">
        <v>100</v>
      </c>
      <c r="H10" s="307">
        <v>0.26</v>
      </c>
      <c r="I10" s="308">
        <v>0.75</v>
      </c>
      <c r="J10" s="309">
        <v>50</v>
      </c>
      <c r="K10" s="306">
        <v>50</v>
      </c>
      <c r="L10" s="306">
        <v>50</v>
      </c>
      <c r="M10" s="306">
        <v>50</v>
      </c>
      <c r="N10" s="307">
        <v>3.25</v>
      </c>
      <c r="O10" s="310">
        <v>0.62</v>
      </c>
      <c r="P10" s="305">
        <v>125</v>
      </c>
      <c r="Q10" s="306">
        <v>125</v>
      </c>
      <c r="R10" s="306">
        <v>125</v>
      </c>
      <c r="S10" s="306">
        <v>125</v>
      </c>
      <c r="T10" s="307">
        <v>0.35</v>
      </c>
      <c r="U10" s="308">
        <v>1.23</v>
      </c>
    </row>
    <row r="11" spans="1:21" ht="12.75">
      <c r="A11" s="1312" t="s">
        <v>498</v>
      </c>
      <c r="B11" s="311" t="s">
        <v>340</v>
      </c>
      <c r="C11" s="312">
        <f>14*24</f>
        <v>336</v>
      </c>
      <c r="D11" s="313">
        <v>100</v>
      </c>
      <c r="E11" s="314">
        <v>100</v>
      </c>
      <c r="F11" s="314">
        <v>100</v>
      </c>
      <c r="G11" s="314">
        <v>100</v>
      </c>
      <c r="H11" s="315">
        <v>0.4</v>
      </c>
      <c r="I11" s="316">
        <v>0.64</v>
      </c>
      <c r="J11" s="317">
        <v>50</v>
      </c>
      <c r="K11" s="314">
        <v>50</v>
      </c>
      <c r="L11" s="314">
        <v>50</v>
      </c>
      <c r="M11" s="314">
        <v>50</v>
      </c>
      <c r="N11" s="318">
        <v>5.55</v>
      </c>
      <c r="O11" s="319">
        <v>0.16</v>
      </c>
      <c r="P11" s="313">
        <v>100</v>
      </c>
      <c r="Q11" s="314">
        <v>125</v>
      </c>
      <c r="R11" s="314">
        <v>100</v>
      </c>
      <c r="S11" s="314">
        <v>125</v>
      </c>
      <c r="T11" s="318">
        <v>0.42</v>
      </c>
      <c r="U11" s="316">
        <v>0.46</v>
      </c>
    </row>
    <row r="12" spans="1:21" ht="12.75">
      <c r="A12" s="1313"/>
      <c r="B12" s="320" t="s">
        <v>341</v>
      </c>
      <c r="C12" s="321">
        <f>3*24</f>
        <v>72</v>
      </c>
      <c r="D12" s="322">
        <v>50</v>
      </c>
      <c r="E12" s="323">
        <v>50</v>
      </c>
      <c r="F12" s="323">
        <v>50</v>
      </c>
      <c r="G12" s="323">
        <v>50</v>
      </c>
      <c r="H12" s="324">
        <v>0.91</v>
      </c>
      <c r="I12" s="325">
        <v>1.64</v>
      </c>
      <c r="J12" s="326">
        <v>50</v>
      </c>
      <c r="K12" s="323">
        <v>50</v>
      </c>
      <c r="L12" s="323">
        <v>50</v>
      </c>
      <c r="M12" s="323">
        <v>50</v>
      </c>
      <c r="N12" s="324">
        <v>5.55</v>
      </c>
      <c r="O12" s="327">
        <v>0.16</v>
      </c>
      <c r="P12" s="322">
        <v>100</v>
      </c>
      <c r="Q12" s="323">
        <v>125</v>
      </c>
      <c r="R12" s="323">
        <v>100</v>
      </c>
      <c r="S12" s="323">
        <v>125</v>
      </c>
      <c r="T12" s="324">
        <v>0.42</v>
      </c>
      <c r="U12" s="325">
        <v>0.46</v>
      </c>
    </row>
    <row r="13" spans="1:21" ht="13.5" thickBot="1">
      <c r="A13" s="1314"/>
      <c r="B13" s="328" t="s">
        <v>342</v>
      </c>
      <c r="C13" s="329">
        <f>14*24-1</f>
        <v>335</v>
      </c>
      <c r="D13" s="330">
        <v>100</v>
      </c>
      <c r="E13" s="331">
        <v>100</v>
      </c>
      <c r="F13" s="331">
        <v>100</v>
      </c>
      <c r="G13" s="331">
        <v>100</v>
      </c>
      <c r="H13" s="332">
        <v>0.43</v>
      </c>
      <c r="I13" s="333">
        <v>0.64</v>
      </c>
      <c r="J13" s="334">
        <v>50</v>
      </c>
      <c r="K13" s="331">
        <v>50</v>
      </c>
      <c r="L13" s="331">
        <v>50</v>
      </c>
      <c r="M13" s="331">
        <v>50</v>
      </c>
      <c r="N13" s="335">
        <v>5.55</v>
      </c>
      <c r="O13" s="336">
        <v>0.16</v>
      </c>
      <c r="P13" s="330">
        <v>100</v>
      </c>
      <c r="Q13" s="331">
        <v>125</v>
      </c>
      <c r="R13" s="331">
        <v>100</v>
      </c>
      <c r="S13" s="331">
        <v>125</v>
      </c>
      <c r="T13" s="335">
        <v>0.42</v>
      </c>
      <c r="U13" s="337">
        <v>0.46</v>
      </c>
    </row>
    <row r="14" spans="1:21" ht="12.75">
      <c r="A14" s="1315" t="s">
        <v>499</v>
      </c>
      <c r="B14" s="338" t="s">
        <v>343</v>
      </c>
      <c r="C14" s="339">
        <v>384</v>
      </c>
      <c r="D14" s="313">
        <v>100</v>
      </c>
      <c r="E14" s="314">
        <v>100</v>
      </c>
      <c r="F14" s="314">
        <v>100</v>
      </c>
      <c r="G14" s="314">
        <v>100</v>
      </c>
      <c r="H14" s="315">
        <v>0.41</v>
      </c>
      <c r="I14" s="340">
        <v>0.37</v>
      </c>
      <c r="J14" s="1318">
        <v>50</v>
      </c>
      <c r="K14" s="1324">
        <v>50</v>
      </c>
      <c r="L14" s="1324">
        <v>50</v>
      </c>
      <c r="M14" s="1324">
        <v>50</v>
      </c>
      <c r="N14" s="1325">
        <v>7.77</v>
      </c>
      <c r="O14" s="1326">
        <v>0.03</v>
      </c>
      <c r="P14" s="313">
        <v>125</v>
      </c>
      <c r="Q14" s="314">
        <v>125</v>
      </c>
      <c r="R14" s="314">
        <v>125</v>
      </c>
      <c r="S14" s="314">
        <v>125</v>
      </c>
      <c r="T14" s="318">
        <v>0.31</v>
      </c>
      <c r="U14" s="316">
        <v>0.22</v>
      </c>
    </row>
    <row r="15" spans="1:21" ht="12.75">
      <c r="A15" s="1316"/>
      <c r="B15" s="341" t="s">
        <v>344</v>
      </c>
      <c r="C15" s="342">
        <v>72</v>
      </c>
      <c r="D15" s="1321"/>
      <c r="E15" s="1322"/>
      <c r="F15" s="1322"/>
      <c r="G15" s="1322"/>
      <c r="H15" s="1322"/>
      <c r="I15" s="1323"/>
      <c r="J15" s="1319"/>
      <c r="K15" s="1294"/>
      <c r="L15" s="1294"/>
      <c r="M15" s="1294"/>
      <c r="N15" s="1290"/>
      <c r="O15" s="1327"/>
      <c r="P15" s="1292">
        <v>100</v>
      </c>
      <c r="Q15" s="1294">
        <v>100</v>
      </c>
      <c r="R15" s="1294">
        <v>100</v>
      </c>
      <c r="S15" s="1294">
        <v>100</v>
      </c>
      <c r="T15" s="1290">
        <v>0.36</v>
      </c>
      <c r="U15" s="1291">
        <v>1.09</v>
      </c>
    </row>
    <row r="16" spans="1:21" ht="12.75">
      <c r="A16" s="1316"/>
      <c r="B16" s="341" t="s">
        <v>345</v>
      </c>
      <c r="C16" s="342">
        <v>96</v>
      </c>
      <c r="D16" s="1292">
        <v>100</v>
      </c>
      <c r="E16" s="1294">
        <v>100</v>
      </c>
      <c r="F16" s="1294">
        <v>100</v>
      </c>
      <c r="G16" s="1294">
        <v>100</v>
      </c>
      <c r="H16" s="1290">
        <v>0.41</v>
      </c>
      <c r="I16" s="1291">
        <v>0.37</v>
      </c>
      <c r="J16" s="1319"/>
      <c r="K16" s="1294"/>
      <c r="L16" s="1294"/>
      <c r="M16" s="1294"/>
      <c r="N16" s="1290"/>
      <c r="O16" s="1327"/>
      <c r="P16" s="1292"/>
      <c r="Q16" s="1294"/>
      <c r="R16" s="1294"/>
      <c r="S16" s="1294"/>
      <c r="T16" s="1290"/>
      <c r="U16" s="1291"/>
    </row>
    <row r="17" spans="1:21" ht="13.5" thickBot="1">
      <c r="A17" s="1317"/>
      <c r="B17" s="343" t="s">
        <v>346</v>
      </c>
      <c r="C17" s="344">
        <v>96</v>
      </c>
      <c r="D17" s="1293"/>
      <c r="E17" s="1295"/>
      <c r="F17" s="1295"/>
      <c r="G17" s="1295"/>
      <c r="H17" s="1296"/>
      <c r="I17" s="1297"/>
      <c r="J17" s="1320"/>
      <c r="K17" s="1295"/>
      <c r="L17" s="1295"/>
      <c r="M17" s="1295"/>
      <c r="N17" s="1296"/>
      <c r="O17" s="1328"/>
      <c r="P17" s="330">
        <v>125</v>
      </c>
      <c r="Q17" s="331">
        <v>125</v>
      </c>
      <c r="R17" s="331">
        <v>125</v>
      </c>
      <c r="S17" s="331">
        <v>125</v>
      </c>
      <c r="T17" s="332">
        <v>0.31</v>
      </c>
      <c r="U17" s="333">
        <v>0.26</v>
      </c>
    </row>
    <row r="18" spans="1:21" ht="13.5" thickBot="1">
      <c r="A18" s="345" t="s">
        <v>93</v>
      </c>
      <c r="B18" s="303" t="s">
        <v>436</v>
      </c>
      <c r="C18" s="346">
        <v>744</v>
      </c>
      <c r="D18" s="347">
        <v>100</v>
      </c>
      <c r="E18" s="348">
        <v>100</v>
      </c>
      <c r="F18" s="348">
        <v>100</v>
      </c>
      <c r="G18" s="348">
        <v>100</v>
      </c>
      <c r="H18" s="349">
        <v>0.39</v>
      </c>
      <c r="I18" s="350">
        <v>0.92</v>
      </c>
      <c r="J18" s="351">
        <v>105</v>
      </c>
      <c r="K18" s="352">
        <v>105</v>
      </c>
      <c r="L18" s="348">
        <v>105</v>
      </c>
      <c r="M18" s="352">
        <v>105</v>
      </c>
      <c r="N18" s="353">
        <v>0.17</v>
      </c>
      <c r="O18" s="354">
        <v>1.11</v>
      </c>
      <c r="P18" s="347">
        <v>50</v>
      </c>
      <c r="Q18" s="348">
        <v>50</v>
      </c>
      <c r="R18" s="348">
        <v>50</v>
      </c>
      <c r="S18" s="348">
        <v>50</v>
      </c>
      <c r="T18" s="349">
        <v>5.63</v>
      </c>
      <c r="U18" s="350">
        <v>0.12</v>
      </c>
    </row>
    <row r="19" spans="1:21" ht="13.5" thickBot="1">
      <c r="A19" s="345" t="s">
        <v>500</v>
      </c>
      <c r="B19" s="295" t="s">
        <v>437</v>
      </c>
      <c r="C19" s="355">
        <v>720</v>
      </c>
      <c r="D19" s="356">
        <v>100</v>
      </c>
      <c r="E19" s="357">
        <v>100</v>
      </c>
      <c r="F19" s="357">
        <v>100</v>
      </c>
      <c r="G19" s="357">
        <v>100</v>
      </c>
      <c r="H19" s="358">
        <v>0.11</v>
      </c>
      <c r="I19" s="359">
        <v>1.06</v>
      </c>
      <c r="J19" s="360">
        <v>105</v>
      </c>
      <c r="K19" s="361">
        <v>105</v>
      </c>
      <c r="L19" s="357">
        <v>105</v>
      </c>
      <c r="M19" s="361">
        <v>105</v>
      </c>
      <c r="N19" s="362">
        <v>0.22</v>
      </c>
      <c r="O19" s="363">
        <v>1.05</v>
      </c>
      <c r="P19" s="356">
        <v>50</v>
      </c>
      <c r="Q19" s="357">
        <v>50</v>
      </c>
      <c r="R19" s="357">
        <v>50</v>
      </c>
      <c r="S19" s="357">
        <v>50</v>
      </c>
      <c r="T19" s="358">
        <v>5.45</v>
      </c>
      <c r="U19" s="359">
        <v>0.07</v>
      </c>
    </row>
    <row r="20" spans="1:21" ht="13.5" thickBot="1">
      <c r="A20" s="345" t="s">
        <v>501</v>
      </c>
      <c r="B20" s="303" t="s">
        <v>438</v>
      </c>
      <c r="C20" s="346">
        <v>744</v>
      </c>
      <c r="D20" s="347">
        <v>100</v>
      </c>
      <c r="E20" s="348">
        <v>100</v>
      </c>
      <c r="F20" s="348">
        <v>100</v>
      </c>
      <c r="G20" s="348">
        <v>100</v>
      </c>
      <c r="H20" s="349">
        <v>0.17</v>
      </c>
      <c r="I20" s="350">
        <v>1.87</v>
      </c>
      <c r="J20" s="351">
        <v>105</v>
      </c>
      <c r="K20" s="352">
        <v>105</v>
      </c>
      <c r="L20" s="348">
        <v>105</v>
      </c>
      <c r="M20" s="352">
        <v>105</v>
      </c>
      <c r="N20" s="353">
        <v>0.07</v>
      </c>
      <c r="O20" s="354">
        <v>2.3</v>
      </c>
      <c r="P20" s="347">
        <v>50</v>
      </c>
      <c r="Q20" s="348">
        <v>50</v>
      </c>
      <c r="R20" s="348">
        <v>50</v>
      </c>
      <c r="S20" s="348">
        <v>50</v>
      </c>
      <c r="T20" s="349">
        <v>3.36</v>
      </c>
      <c r="U20" s="350">
        <v>0.61</v>
      </c>
    </row>
    <row r="21" spans="1:21" ht="13.5" thickBot="1">
      <c r="A21" s="345" t="s">
        <v>502</v>
      </c>
      <c r="B21" s="295" t="s">
        <v>439</v>
      </c>
      <c r="C21" s="355">
        <v>744</v>
      </c>
      <c r="D21" s="356">
        <v>100</v>
      </c>
      <c r="E21" s="357">
        <v>100</v>
      </c>
      <c r="F21" s="357">
        <v>100</v>
      </c>
      <c r="G21" s="357">
        <v>100</v>
      </c>
      <c r="H21" s="358">
        <v>0.05</v>
      </c>
      <c r="I21" s="359">
        <v>4.61</v>
      </c>
      <c r="J21" s="360">
        <v>105</v>
      </c>
      <c r="K21" s="361">
        <v>105</v>
      </c>
      <c r="L21" s="357">
        <v>105</v>
      </c>
      <c r="M21" s="361">
        <v>105</v>
      </c>
      <c r="N21" s="362">
        <v>0.04</v>
      </c>
      <c r="O21" s="363">
        <v>3.5</v>
      </c>
      <c r="P21" s="356">
        <v>50</v>
      </c>
      <c r="Q21" s="357">
        <v>50</v>
      </c>
      <c r="R21" s="357">
        <v>50</v>
      </c>
      <c r="S21" s="357">
        <v>50</v>
      </c>
      <c r="T21" s="358">
        <v>1.11</v>
      </c>
      <c r="U21" s="359">
        <v>2.89</v>
      </c>
    </row>
    <row r="22" spans="1:21" ht="13.5" thickBot="1">
      <c r="A22" s="345" t="s">
        <v>567</v>
      </c>
      <c r="B22" s="364"/>
      <c r="C22" s="365"/>
      <c r="D22" s="366"/>
      <c r="E22" s="364"/>
      <c r="F22" s="364"/>
      <c r="G22" s="364"/>
      <c r="H22" s="364"/>
      <c r="I22" s="367"/>
      <c r="J22" s="368"/>
      <c r="K22" s="364"/>
      <c r="L22" s="364"/>
      <c r="M22" s="364"/>
      <c r="N22" s="364"/>
      <c r="O22" s="365"/>
      <c r="P22" s="366"/>
      <c r="Q22" s="364"/>
      <c r="R22" s="364"/>
      <c r="S22" s="364"/>
      <c r="T22" s="364"/>
      <c r="U22" s="367"/>
    </row>
    <row r="23" spans="1:21" ht="13.5" thickBot="1">
      <c r="A23" s="345" t="s">
        <v>733</v>
      </c>
      <c r="B23" s="369"/>
      <c r="C23" s="370"/>
      <c r="D23" s="371"/>
      <c r="E23" s="369"/>
      <c r="F23" s="369"/>
      <c r="G23" s="369"/>
      <c r="H23" s="369"/>
      <c r="I23" s="372"/>
      <c r="J23" s="373"/>
      <c r="K23" s="369"/>
      <c r="L23" s="369"/>
      <c r="M23" s="369"/>
      <c r="N23" s="369"/>
      <c r="O23" s="370"/>
      <c r="P23" s="371"/>
      <c r="Q23" s="369"/>
      <c r="R23" s="369"/>
      <c r="S23" s="369"/>
      <c r="T23" s="369"/>
      <c r="U23" s="372"/>
    </row>
    <row r="24" spans="1:21" ht="13.5" thickBot="1">
      <c r="A24" s="345" t="s">
        <v>734</v>
      </c>
      <c r="B24" s="364"/>
      <c r="C24" s="365"/>
      <c r="D24" s="366"/>
      <c r="E24" s="364"/>
      <c r="F24" s="364"/>
      <c r="G24" s="364"/>
      <c r="H24" s="364"/>
      <c r="I24" s="367"/>
      <c r="J24" s="368"/>
      <c r="K24" s="364"/>
      <c r="L24" s="364"/>
      <c r="M24" s="364"/>
      <c r="N24" s="364"/>
      <c r="O24" s="365"/>
      <c r="P24" s="366"/>
      <c r="Q24" s="364"/>
      <c r="R24" s="364"/>
      <c r="S24" s="364"/>
      <c r="T24" s="364"/>
      <c r="U24" s="367"/>
    </row>
    <row r="25" spans="1:21" ht="13.5" thickBot="1">
      <c r="A25" s="345" t="s">
        <v>735</v>
      </c>
      <c r="B25" s="374"/>
      <c r="C25" s="375"/>
      <c r="D25" s="376"/>
      <c r="E25" s="374"/>
      <c r="F25" s="374"/>
      <c r="G25" s="374"/>
      <c r="H25" s="374"/>
      <c r="I25" s="377"/>
      <c r="J25" s="378"/>
      <c r="K25" s="374"/>
      <c r="L25" s="374"/>
      <c r="M25" s="374"/>
      <c r="N25" s="374"/>
      <c r="O25" s="375"/>
      <c r="P25" s="376"/>
      <c r="Q25" s="374"/>
      <c r="R25" s="374"/>
      <c r="S25" s="374"/>
      <c r="T25" s="374"/>
      <c r="U25" s="377"/>
    </row>
    <row r="27" spans="14:18" ht="12.75">
      <c r="N27" s="1132" t="s">
        <v>441</v>
      </c>
      <c r="O27" s="1132"/>
      <c r="P27" s="1132"/>
      <c r="Q27" s="1132"/>
      <c r="R27" s="1132"/>
    </row>
  </sheetData>
  <sheetProtection/>
  <mergeCells count="41">
    <mergeCell ref="A2:A5"/>
    <mergeCell ref="B2:B5"/>
    <mergeCell ref="C2:C4"/>
    <mergeCell ref="D2:I2"/>
    <mergeCell ref="J2:O2"/>
    <mergeCell ref="D3:E3"/>
    <mergeCell ref="F3:G3"/>
    <mergeCell ref="H3:I3"/>
    <mergeCell ref="J3:K3"/>
    <mergeCell ref="L3:M3"/>
    <mergeCell ref="P2:U2"/>
    <mergeCell ref="N3:O3"/>
    <mergeCell ref="P3:Q3"/>
    <mergeCell ref="R3:S3"/>
    <mergeCell ref="T3:U3"/>
    <mergeCell ref="D15:I15"/>
    <mergeCell ref="P15:P16"/>
    <mergeCell ref="Q15:Q16"/>
    <mergeCell ref="R15:R16"/>
    <mergeCell ref="S15:S16"/>
    <mergeCell ref="K14:K17"/>
    <mergeCell ref="L14:L17"/>
    <mergeCell ref="M14:M17"/>
    <mergeCell ref="N14:N17"/>
    <mergeCell ref="O14:O17"/>
    <mergeCell ref="N27:R27"/>
    <mergeCell ref="A1:U1"/>
    <mergeCell ref="T15:T16"/>
    <mergeCell ref="U15:U16"/>
    <mergeCell ref="D16:D17"/>
    <mergeCell ref="E16:E17"/>
    <mergeCell ref="F16:F17"/>
    <mergeCell ref="G16:G17"/>
    <mergeCell ref="H16:H17"/>
    <mergeCell ref="I16:I17"/>
    <mergeCell ref="A6:A8"/>
    <mergeCell ref="P6:U8"/>
    <mergeCell ref="J7:O7"/>
    <mergeCell ref="A11:A13"/>
    <mergeCell ref="A14:A17"/>
    <mergeCell ref="J14:J17"/>
  </mergeCells>
  <printOptions/>
  <pageMargins left="0.25" right="0.25" top="0.75" bottom="0.75" header="0.3" footer="0.3"/>
  <pageSetup orientation="landscape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H64"/>
  <sheetViews>
    <sheetView zoomScale="70" zoomScaleNormal="70" zoomScalePageLayoutView="0" workbookViewId="0" topLeftCell="A1">
      <selection activeCell="P12" sqref="P12"/>
    </sheetView>
  </sheetViews>
  <sheetFormatPr defaultColWidth="9.140625" defaultRowHeight="15"/>
  <cols>
    <col min="1" max="1" width="14.140625" style="203" bestFit="1" customWidth="1"/>
    <col min="2" max="2" width="8.7109375" style="203" customWidth="1"/>
    <col min="3" max="18" width="8.7109375" style="204" customWidth="1"/>
    <col min="19" max="20" width="8.7109375" style="203" customWidth="1"/>
    <col min="21" max="21" width="8.7109375" style="204" customWidth="1"/>
    <col min="22" max="25" width="8.7109375" style="203" customWidth="1"/>
    <col min="26" max="26" width="7.7109375" style="203" bestFit="1" customWidth="1"/>
    <col min="27" max="28" width="6.57421875" style="203" bestFit="1" customWidth="1"/>
    <col min="29" max="29" width="5.7109375" style="203" bestFit="1" customWidth="1"/>
    <col min="30" max="33" width="1.8515625" style="203" bestFit="1" customWidth="1"/>
    <col min="34" max="34" width="7.8515625" style="203" bestFit="1" customWidth="1"/>
    <col min="35" max="36" width="9.28125" style="203" bestFit="1" customWidth="1"/>
    <col min="37" max="16384" width="9.140625" style="203" customWidth="1"/>
  </cols>
  <sheetData>
    <row r="1" spans="1:25" ht="13.5" thickBot="1">
      <c r="A1" s="1341" t="s">
        <v>828</v>
      </c>
      <c r="B1" s="1342"/>
      <c r="C1" s="1342"/>
      <c r="D1" s="1342"/>
      <c r="E1" s="1342"/>
      <c r="F1" s="1342"/>
      <c r="G1" s="1342"/>
      <c r="H1" s="1342"/>
      <c r="I1" s="1342"/>
      <c r="J1" s="1342"/>
      <c r="K1" s="1342"/>
      <c r="L1" s="1342"/>
      <c r="M1" s="1342"/>
      <c r="N1" s="1342"/>
      <c r="O1" s="1342"/>
      <c r="P1" s="1342"/>
      <c r="Q1" s="1342"/>
      <c r="R1" s="1342"/>
      <c r="S1" s="1342"/>
      <c r="T1" s="1342"/>
      <c r="U1" s="1342"/>
      <c r="V1" s="1342"/>
      <c r="W1" s="1342"/>
      <c r="X1" s="1342"/>
      <c r="Y1" s="1343"/>
    </row>
    <row r="2" spans="1:25" ht="13.5" thickBot="1">
      <c r="A2" s="1344" t="s">
        <v>829</v>
      </c>
      <c r="B2" s="1345"/>
      <c r="C2" s="1345"/>
      <c r="D2" s="1345"/>
      <c r="E2" s="1345"/>
      <c r="F2" s="1345"/>
      <c r="G2" s="1345"/>
      <c r="H2" s="1345"/>
      <c r="I2" s="1345"/>
      <c r="J2" s="1345"/>
      <c r="K2" s="1345"/>
      <c r="L2" s="1345"/>
      <c r="M2" s="1345"/>
      <c r="N2" s="1345"/>
      <c r="O2" s="1345"/>
      <c r="P2" s="1345"/>
      <c r="Q2" s="1345"/>
      <c r="R2" s="1345"/>
      <c r="S2" s="1345"/>
      <c r="T2" s="1345"/>
      <c r="U2" s="1345"/>
      <c r="V2" s="1345"/>
      <c r="W2" s="1345"/>
      <c r="X2" s="1345"/>
      <c r="Y2" s="1346"/>
    </row>
    <row r="3" spans="1:25" ht="81">
      <c r="A3" s="1347" t="s">
        <v>347</v>
      </c>
      <c r="B3" s="207" t="s">
        <v>177</v>
      </c>
      <c r="C3" s="937" t="s">
        <v>178</v>
      </c>
      <c r="D3" s="938" t="s">
        <v>179</v>
      </c>
      <c r="E3" s="925" t="s">
        <v>180</v>
      </c>
      <c r="F3" s="919" t="s">
        <v>179</v>
      </c>
      <c r="G3" s="941" t="s">
        <v>196</v>
      </c>
      <c r="H3" s="938" t="s">
        <v>179</v>
      </c>
      <c r="I3" s="925" t="s">
        <v>181</v>
      </c>
      <c r="J3" s="919" t="s">
        <v>179</v>
      </c>
      <c r="K3" s="943" t="s">
        <v>182</v>
      </c>
      <c r="L3" s="938" t="s">
        <v>179</v>
      </c>
      <c r="M3" s="925" t="s">
        <v>183</v>
      </c>
      <c r="N3" s="919" t="s">
        <v>179</v>
      </c>
      <c r="O3" s="916" t="s">
        <v>184</v>
      </c>
      <c r="P3" s="944" t="s">
        <v>185</v>
      </c>
      <c r="Q3" s="945" t="s">
        <v>179</v>
      </c>
      <c r="R3" s="916" t="s">
        <v>186</v>
      </c>
      <c r="S3" s="917" t="s">
        <v>179</v>
      </c>
      <c r="T3" s="918" t="s">
        <v>187</v>
      </c>
      <c r="U3" s="946" t="s">
        <v>326</v>
      </c>
      <c r="V3" s="947" t="s">
        <v>179</v>
      </c>
      <c r="W3" s="950" t="s">
        <v>327</v>
      </c>
      <c r="X3" s="916" t="s">
        <v>348</v>
      </c>
      <c r="Y3" s="919" t="s">
        <v>179</v>
      </c>
    </row>
    <row r="4" spans="1:25" ht="79.5">
      <c r="A4" s="1347"/>
      <c r="B4" s="210" t="s">
        <v>188</v>
      </c>
      <c r="C4" s="939" t="s">
        <v>179</v>
      </c>
      <c r="D4" s="940" t="s">
        <v>178</v>
      </c>
      <c r="E4" s="920" t="s">
        <v>179</v>
      </c>
      <c r="F4" s="921" t="s">
        <v>180</v>
      </c>
      <c r="G4" s="942" t="s">
        <v>179</v>
      </c>
      <c r="H4" s="940" t="s">
        <v>152</v>
      </c>
      <c r="I4" s="920" t="s">
        <v>179</v>
      </c>
      <c r="J4" s="921" t="s">
        <v>181</v>
      </c>
      <c r="K4" s="939" t="s">
        <v>179</v>
      </c>
      <c r="L4" s="940" t="s">
        <v>189</v>
      </c>
      <c r="M4" s="920" t="s">
        <v>179</v>
      </c>
      <c r="N4" s="921" t="s">
        <v>190</v>
      </c>
      <c r="O4" s="922" t="s">
        <v>179</v>
      </c>
      <c r="P4" s="939" t="s">
        <v>179</v>
      </c>
      <c r="Q4" s="940" t="s">
        <v>185</v>
      </c>
      <c r="R4" s="922" t="s">
        <v>179</v>
      </c>
      <c r="S4" s="923" t="s">
        <v>186</v>
      </c>
      <c r="T4" s="924" t="s">
        <v>179</v>
      </c>
      <c r="U4" s="948" t="s">
        <v>179</v>
      </c>
      <c r="V4" s="949" t="s">
        <v>326</v>
      </c>
      <c r="W4" s="951" t="s">
        <v>179</v>
      </c>
      <c r="X4" s="922" t="s">
        <v>179</v>
      </c>
      <c r="Y4" s="921" t="s">
        <v>348</v>
      </c>
    </row>
    <row r="5" spans="1:25" ht="13.5" thickBot="1">
      <c r="A5" s="1348"/>
      <c r="B5" s="211"/>
      <c r="C5" s="929" t="s">
        <v>88</v>
      </c>
      <c r="D5" s="930" t="s">
        <v>88</v>
      </c>
      <c r="E5" s="929" t="s">
        <v>88</v>
      </c>
      <c r="F5" s="930" t="s">
        <v>88</v>
      </c>
      <c r="G5" s="929" t="s">
        <v>88</v>
      </c>
      <c r="H5" s="930" t="s">
        <v>88</v>
      </c>
      <c r="I5" s="929" t="s">
        <v>88</v>
      </c>
      <c r="J5" s="930" t="s">
        <v>88</v>
      </c>
      <c r="K5" s="929" t="s">
        <v>88</v>
      </c>
      <c r="L5" s="930" t="s">
        <v>88</v>
      </c>
      <c r="M5" s="929" t="s">
        <v>88</v>
      </c>
      <c r="N5" s="930" t="s">
        <v>88</v>
      </c>
      <c r="O5" s="931" t="s">
        <v>88</v>
      </c>
      <c r="P5" s="932" t="s">
        <v>88</v>
      </c>
      <c r="Q5" s="933" t="s">
        <v>88</v>
      </c>
      <c r="R5" s="934" t="s">
        <v>88</v>
      </c>
      <c r="S5" s="935" t="s">
        <v>88</v>
      </c>
      <c r="T5" s="936" t="s">
        <v>88</v>
      </c>
      <c r="U5" s="934" t="s">
        <v>88</v>
      </c>
      <c r="V5" s="935" t="s">
        <v>88</v>
      </c>
      <c r="W5" s="936" t="s">
        <v>88</v>
      </c>
      <c r="X5" s="934" t="s">
        <v>88</v>
      </c>
      <c r="Y5" s="930" t="s">
        <v>88</v>
      </c>
    </row>
    <row r="6" spans="1:25" ht="13.5" thickTop="1">
      <c r="A6" s="213" t="s">
        <v>496</v>
      </c>
      <c r="B6" s="208"/>
      <c r="C6" s="214">
        <v>361.497</v>
      </c>
      <c r="D6" s="215">
        <v>157.768</v>
      </c>
      <c r="E6" s="214">
        <v>2509.39</v>
      </c>
      <c r="F6" s="215">
        <v>219.2</v>
      </c>
      <c r="G6" s="218">
        <v>6981.714</v>
      </c>
      <c r="H6" s="926">
        <v>19384.028</v>
      </c>
      <c r="I6" s="214"/>
      <c r="J6" s="215"/>
      <c r="K6" s="214">
        <v>367.91</v>
      </c>
      <c r="L6" s="215">
        <v>358.446</v>
      </c>
      <c r="M6" s="214">
        <v>200.423</v>
      </c>
      <c r="N6" s="215">
        <v>182.917</v>
      </c>
      <c r="O6" s="219">
        <v>1.935</v>
      </c>
      <c r="P6" s="214">
        <v>128.253</v>
      </c>
      <c r="Q6" s="215">
        <v>112.625</v>
      </c>
      <c r="R6" s="216">
        <v>2692.502</v>
      </c>
      <c r="S6" s="217">
        <v>150.711</v>
      </c>
      <c r="T6" s="220">
        <v>38.741</v>
      </c>
      <c r="U6" s="216">
        <v>53.063</v>
      </c>
      <c r="V6" s="217">
        <v>44.598</v>
      </c>
      <c r="W6" s="220">
        <v>12.1</v>
      </c>
      <c r="X6" s="216"/>
      <c r="Y6" s="215"/>
    </row>
    <row r="7" spans="1:25" ht="12.75">
      <c r="A7" s="213" t="s">
        <v>497</v>
      </c>
      <c r="B7" s="221"/>
      <c r="C7" s="214">
        <v>185.232</v>
      </c>
      <c r="D7" s="215">
        <v>57.248</v>
      </c>
      <c r="E7" s="214">
        <v>243.74</v>
      </c>
      <c r="F7" s="215">
        <v>187.75</v>
      </c>
      <c r="G7" s="218">
        <v>2058.141</v>
      </c>
      <c r="H7" s="926">
        <v>39819.025</v>
      </c>
      <c r="I7" s="214"/>
      <c r="J7" s="215"/>
      <c r="K7" s="214">
        <v>599.325</v>
      </c>
      <c r="L7" s="215">
        <v>554.405</v>
      </c>
      <c r="M7" s="214">
        <v>138.25</v>
      </c>
      <c r="N7" s="215">
        <v>0</v>
      </c>
      <c r="O7" s="219">
        <v>2.514</v>
      </c>
      <c r="P7" s="214">
        <v>107.717</v>
      </c>
      <c r="Q7" s="215">
        <v>129.905</v>
      </c>
      <c r="R7" s="216">
        <v>209.287</v>
      </c>
      <c r="S7" s="217">
        <v>614.991</v>
      </c>
      <c r="T7" s="220">
        <v>3.856</v>
      </c>
      <c r="U7" s="216">
        <v>275.856</v>
      </c>
      <c r="V7" s="217">
        <v>62.9</v>
      </c>
      <c r="W7" s="220">
        <v>17.165</v>
      </c>
      <c r="X7" s="216"/>
      <c r="Y7" s="215"/>
    </row>
    <row r="8" spans="1:25" ht="12.75">
      <c r="A8" s="213" t="s">
        <v>498</v>
      </c>
      <c r="B8" s="222"/>
      <c r="C8" s="214">
        <v>149.153</v>
      </c>
      <c r="D8" s="215">
        <v>344.266</v>
      </c>
      <c r="E8" s="214">
        <v>333.963</v>
      </c>
      <c r="F8" s="215">
        <v>346.139</v>
      </c>
      <c r="G8" s="218">
        <v>478.092</v>
      </c>
      <c r="H8" s="926">
        <v>53011.238</v>
      </c>
      <c r="I8" s="214"/>
      <c r="J8" s="215"/>
      <c r="K8" s="214"/>
      <c r="L8" s="215"/>
      <c r="M8" s="214">
        <v>163.668</v>
      </c>
      <c r="N8" s="215">
        <v>209.453</v>
      </c>
      <c r="O8" s="219">
        <v>4.756</v>
      </c>
      <c r="P8" s="214">
        <v>87.032</v>
      </c>
      <c r="Q8" s="215">
        <v>146.1</v>
      </c>
      <c r="R8" s="216">
        <v>86.395</v>
      </c>
      <c r="S8" s="217">
        <v>247.765</v>
      </c>
      <c r="T8" s="220">
        <v>4.791</v>
      </c>
      <c r="U8" s="216">
        <v>123.695</v>
      </c>
      <c r="V8" s="217">
        <v>40.711</v>
      </c>
      <c r="W8" s="220">
        <v>15.811</v>
      </c>
      <c r="X8" s="216"/>
      <c r="Y8" s="215"/>
    </row>
    <row r="9" spans="1:25" ht="12.75">
      <c r="A9" s="213" t="s">
        <v>499</v>
      </c>
      <c r="B9" s="222"/>
      <c r="C9" s="214">
        <v>802.711</v>
      </c>
      <c r="D9" s="215">
        <v>1514.211</v>
      </c>
      <c r="E9" s="214">
        <v>312.616</v>
      </c>
      <c r="F9" s="215">
        <v>616.764</v>
      </c>
      <c r="G9" s="218">
        <v>3982.675</v>
      </c>
      <c r="H9" s="926">
        <v>13870.69</v>
      </c>
      <c r="I9" s="214"/>
      <c r="J9" s="215"/>
      <c r="K9" s="214">
        <v>1084.079</v>
      </c>
      <c r="L9" s="215">
        <v>539.297</v>
      </c>
      <c r="M9" s="214">
        <v>106.369</v>
      </c>
      <c r="N9" s="215">
        <v>69.033</v>
      </c>
      <c r="O9" s="219">
        <v>0</v>
      </c>
      <c r="P9" s="214">
        <v>1407.672</v>
      </c>
      <c r="Q9" s="215">
        <v>1627.653</v>
      </c>
      <c r="R9" s="216">
        <v>159.834</v>
      </c>
      <c r="S9" s="217">
        <v>456.512</v>
      </c>
      <c r="T9" s="220">
        <v>11.46</v>
      </c>
      <c r="U9" s="216">
        <v>11.754</v>
      </c>
      <c r="V9" s="217">
        <v>32.068</v>
      </c>
      <c r="W9" s="220">
        <v>23.618</v>
      </c>
      <c r="X9" s="216">
        <v>190.094</v>
      </c>
      <c r="Y9" s="215">
        <v>125.026</v>
      </c>
    </row>
    <row r="10" spans="1:25" ht="12.75">
      <c r="A10" s="213" t="s">
        <v>93</v>
      </c>
      <c r="B10" s="222"/>
      <c r="C10" s="214">
        <v>1144.695</v>
      </c>
      <c r="D10" s="215">
        <v>2117.787</v>
      </c>
      <c r="E10" s="214">
        <v>1897.335</v>
      </c>
      <c r="F10" s="215">
        <v>331.687</v>
      </c>
      <c r="G10" s="218">
        <v>2754.86</v>
      </c>
      <c r="H10" s="926">
        <v>12552.935</v>
      </c>
      <c r="I10" s="214"/>
      <c r="J10" s="215"/>
      <c r="K10" s="214">
        <v>918.998</v>
      </c>
      <c r="L10" s="215">
        <v>688.402</v>
      </c>
      <c r="M10" s="214">
        <v>136.082</v>
      </c>
      <c r="N10" s="215">
        <v>107.627</v>
      </c>
      <c r="O10" s="219">
        <v>0.872</v>
      </c>
      <c r="P10" s="214">
        <v>1315.824</v>
      </c>
      <c r="Q10" s="215">
        <v>976.398</v>
      </c>
      <c r="R10" s="216">
        <v>719.205</v>
      </c>
      <c r="S10" s="217">
        <v>59.381</v>
      </c>
      <c r="T10" s="220">
        <v>20.816</v>
      </c>
      <c r="U10" s="216">
        <v>17.787</v>
      </c>
      <c r="V10" s="217">
        <v>21.137</v>
      </c>
      <c r="W10" s="220">
        <v>17.377</v>
      </c>
      <c r="X10" s="216">
        <v>274.075</v>
      </c>
      <c r="Y10" s="215">
        <v>33.338</v>
      </c>
    </row>
    <row r="11" spans="1:25" ht="12.75">
      <c r="A11" s="213" t="s">
        <v>500</v>
      </c>
      <c r="B11" s="222"/>
      <c r="C11" s="214">
        <v>901.479</v>
      </c>
      <c r="D11" s="215">
        <v>952.17</v>
      </c>
      <c r="E11" s="214">
        <v>1730.917</v>
      </c>
      <c r="F11" s="215">
        <v>265.461</v>
      </c>
      <c r="G11" s="218">
        <v>5364.743</v>
      </c>
      <c r="H11" s="926">
        <v>9298.1</v>
      </c>
      <c r="I11" s="214"/>
      <c r="J11" s="215"/>
      <c r="K11" s="214">
        <v>806.649</v>
      </c>
      <c r="L11" s="215">
        <v>1006.073</v>
      </c>
      <c r="M11" s="214">
        <v>116.663</v>
      </c>
      <c r="N11" s="215">
        <v>63.077</v>
      </c>
      <c r="O11" s="219">
        <v>11.741</v>
      </c>
      <c r="P11" s="214">
        <v>1276.184</v>
      </c>
      <c r="Q11" s="215">
        <v>518.036</v>
      </c>
      <c r="R11" s="216">
        <v>24.602</v>
      </c>
      <c r="S11" s="217">
        <v>108.05</v>
      </c>
      <c r="T11" s="220">
        <v>28.529</v>
      </c>
      <c r="U11" s="216">
        <v>31.947</v>
      </c>
      <c r="V11" s="217">
        <v>19.512</v>
      </c>
      <c r="W11" s="220">
        <v>14.92</v>
      </c>
      <c r="X11" s="216">
        <v>217.389</v>
      </c>
      <c r="Y11" s="215">
        <v>7.661</v>
      </c>
    </row>
    <row r="12" spans="1:25" ht="12.75">
      <c r="A12" s="213" t="s">
        <v>501</v>
      </c>
      <c r="B12" s="221"/>
      <c r="C12" s="214">
        <v>1146.713</v>
      </c>
      <c r="D12" s="223">
        <v>386.97</v>
      </c>
      <c r="E12" s="214">
        <v>1109.902</v>
      </c>
      <c r="F12" s="215">
        <v>586.583</v>
      </c>
      <c r="G12" s="218">
        <v>2230.549</v>
      </c>
      <c r="H12" s="927">
        <v>19084.838</v>
      </c>
      <c r="I12" s="214"/>
      <c r="J12" s="215"/>
      <c r="K12" s="214">
        <v>709.818</v>
      </c>
      <c r="L12" s="928">
        <v>1002.158</v>
      </c>
      <c r="M12" s="214">
        <v>138.046</v>
      </c>
      <c r="N12" s="215">
        <v>36.115</v>
      </c>
      <c r="O12" s="215">
        <v>10.563</v>
      </c>
      <c r="P12" s="225">
        <v>1503.088</v>
      </c>
      <c r="Q12" s="223">
        <v>690.083</v>
      </c>
      <c r="R12" s="226">
        <v>30.834</v>
      </c>
      <c r="S12" s="224">
        <v>85.478</v>
      </c>
      <c r="T12" s="227">
        <v>33.355</v>
      </c>
      <c r="U12" s="226">
        <v>27.495</v>
      </c>
      <c r="V12" s="224">
        <v>25.133</v>
      </c>
      <c r="W12" s="227">
        <v>11.725</v>
      </c>
      <c r="X12" s="216">
        <v>294.63</v>
      </c>
      <c r="Y12" s="215">
        <v>112.616</v>
      </c>
    </row>
    <row r="13" spans="1:25" ht="12.75">
      <c r="A13" s="213" t="s">
        <v>502</v>
      </c>
      <c r="B13" s="228"/>
      <c r="C13" s="214">
        <v>748.503</v>
      </c>
      <c r="D13" s="223">
        <v>1061.155</v>
      </c>
      <c r="E13" s="214">
        <v>2650.886</v>
      </c>
      <c r="F13" s="215">
        <v>620.602</v>
      </c>
      <c r="G13" s="229">
        <v>27669.329</v>
      </c>
      <c r="H13" s="927">
        <v>20097.687</v>
      </c>
      <c r="I13" s="214"/>
      <c r="J13" s="215"/>
      <c r="K13" s="214">
        <v>1039.979</v>
      </c>
      <c r="L13" s="928">
        <v>831.122</v>
      </c>
      <c r="M13" s="214">
        <v>117.802</v>
      </c>
      <c r="N13" s="215">
        <v>32.449</v>
      </c>
      <c r="O13" s="215">
        <v>48.369</v>
      </c>
      <c r="P13" s="225">
        <v>1399.817</v>
      </c>
      <c r="Q13" s="223">
        <v>377.639</v>
      </c>
      <c r="R13" s="226">
        <v>848.914</v>
      </c>
      <c r="S13" s="224">
        <v>9.027</v>
      </c>
      <c r="T13" s="227">
        <v>38.415</v>
      </c>
      <c r="U13" s="226">
        <v>244.717</v>
      </c>
      <c r="V13" s="224">
        <v>14.63</v>
      </c>
      <c r="W13" s="227">
        <v>50.144</v>
      </c>
      <c r="X13" s="216">
        <v>237.901</v>
      </c>
      <c r="Y13" s="215">
        <v>155.633</v>
      </c>
    </row>
    <row r="14" spans="1:25" ht="12.75">
      <c r="A14" s="213" t="s">
        <v>567</v>
      </c>
      <c r="B14" s="228"/>
      <c r="C14" s="214"/>
      <c r="D14" s="223"/>
      <c r="E14" s="214"/>
      <c r="F14" s="215"/>
      <c r="G14" s="229"/>
      <c r="H14" s="927"/>
      <c r="I14" s="214"/>
      <c r="J14" s="215"/>
      <c r="K14" s="214"/>
      <c r="L14" s="928"/>
      <c r="M14" s="214"/>
      <c r="N14" s="215"/>
      <c r="O14" s="215"/>
      <c r="P14" s="225"/>
      <c r="Q14" s="223"/>
      <c r="R14" s="226"/>
      <c r="S14" s="224"/>
      <c r="T14" s="227"/>
      <c r="U14" s="226"/>
      <c r="V14" s="224"/>
      <c r="W14" s="227"/>
      <c r="X14" s="216"/>
      <c r="Y14" s="215"/>
    </row>
    <row r="15" spans="1:25" ht="12.75">
      <c r="A15" s="213" t="s">
        <v>733</v>
      </c>
      <c r="B15" s="230"/>
      <c r="C15" s="214"/>
      <c r="D15" s="223"/>
      <c r="E15" s="214"/>
      <c r="F15" s="215"/>
      <c r="G15" s="218"/>
      <c r="H15" s="926"/>
      <c r="I15" s="214"/>
      <c r="J15" s="215"/>
      <c r="K15" s="214"/>
      <c r="L15" s="928"/>
      <c r="M15" s="214"/>
      <c r="N15" s="215"/>
      <c r="O15" s="215"/>
      <c r="P15" s="225"/>
      <c r="Q15" s="223"/>
      <c r="R15" s="226"/>
      <c r="S15" s="224"/>
      <c r="T15" s="227"/>
      <c r="U15" s="226"/>
      <c r="V15" s="224"/>
      <c r="W15" s="227"/>
      <c r="X15" s="216"/>
      <c r="Y15" s="215"/>
    </row>
    <row r="16" spans="1:25" ht="12.75">
      <c r="A16" s="213" t="s">
        <v>734</v>
      </c>
      <c r="B16" s="230"/>
      <c r="C16" s="214"/>
      <c r="D16" s="223"/>
      <c r="E16" s="214"/>
      <c r="F16" s="215"/>
      <c r="G16" s="218"/>
      <c r="H16" s="926"/>
      <c r="I16" s="214"/>
      <c r="J16" s="215"/>
      <c r="K16" s="214"/>
      <c r="L16" s="928"/>
      <c r="M16" s="214"/>
      <c r="N16" s="215"/>
      <c r="O16" s="215"/>
      <c r="P16" s="225"/>
      <c r="Q16" s="223"/>
      <c r="R16" s="226"/>
      <c r="S16" s="224"/>
      <c r="T16" s="227"/>
      <c r="U16" s="226"/>
      <c r="V16" s="224"/>
      <c r="W16" s="227"/>
      <c r="X16" s="216"/>
      <c r="Y16" s="215"/>
    </row>
    <row r="17" spans="1:25" ht="12.75">
      <c r="A17" s="213" t="s">
        <v>735</v>
      </c>
      <c r="B17" s="231"/>
      <c r="C17" s="214"/>
      <c r="D17" s="223"/>
      <c r="E17" s="214"/>
      <c r="F17" s="215"/>
      <c r="G17" s="218"/>
      <c r="H17" s="926"/>
      <c r="I17" s="214"/>
      <c r="J17" s="215"/>
      <c r="K17" s="214"/>
      <c r="L17" s="928"/>
      <c r="M17" s="214"/>
      <c r="N17" s="215"/>
      <c r="O17" s="215"/>
      <c r="P17" s="225"/>
      <c r="Q17" s="223"/>
      <c r="R17" s="226"/>
      <c r="S17" s="224"/>
      <c r="T17" s="227"/>
      <c r="U17" s="226"/>
      <c r="V17" s="224"/>
      <c r="W17" s="227"/>
      <c r="X17" s="216"/>
      <c r="Y17" s="215"/>
    </row>
    <row r="18" spans="1:25" ht="13.5" thickBot="1">
      <c r="A18" s="232" t="s">
        <v>17</v>
      </c>
      <c r="B18" s="233"/>
      <c r="C18" s="234">
        <f aca="true" t="shared" si="0" ref="C18:N18">SUM(C6:C17)</f>
        <v>5439.982999999999</v>
      </c>
      <c r="D18" s="235">
        <f t="shared" si="0"/>
        <v>6591.575</v>
      </c>
      <c r="E18" s="234">
        <f t="shared" si="0"/>
        <v>10788.749</v>
      </c>
      <c r="F18" s="235">
        <f t="shared" si="0"/>
        <v>3174.1859999999997</v>
      </c>
      <c r="G18" s="234">
        <f t="shared" si="0"/>
        <v>51520.103</v>
      </c>
      <c r="H18" s="235">
        <f t="shared" si="0"/>
        <v>187118.541</v>
      </c>
      <c r="I18" s="234">
        <f t="shared" si="0"/>
        <v>0</v>
      </c>
      <c r="J18" s="235">
        <f t="shared" si="0"/>
        <v>0</v>
      </c>
      <c r="K18" s="234">
        <f t="shared" si="0"/>
        <v>5526.758000000001</v>
      </c>
      <c r="L18" s="235">
        <f t="shared" si="0"/>
        <v>4979.903</v>
      </c>
      <c r="M18" s="234">
        <f t="shared" si="0"/>
        <v>1117.3029999999999</v>
      </c>
      <c r="N18" s="235">
        <f t="shared" si="0"/>
        <v>700.6709999999999</v>
      </c>
      <c r="O18" s="236">
        <f aca="true" t="shared" si="1" ref="O18:Y18">SUM(O6:O17)</f>
        <v>80.75</v>
      </c>
      <c r="P18" s="234">
        <f t="shared" si="1"/>
        <v>7225.5869999999995</v>
      </c>
      <c r="Q18" s="235">
        <f t="shared" si="1"/>
        <v>4578.439</v>
      </c>
      <c r="R18" s="234">
        <f t="shared" si="1"/>
        <v>4771.572999999999</v>
      </c>
      <c r="S18" s="235">
        <f t="shared" si="1"/>
        <v>1731.9150000000002</v>
      </c>
      <c r="T18" s="237">
        <f t="shared" si="1"/>
        <v>179.963</v>
      </c>
      <c r="U18" s="234">
        <f t="shared" si="1"/>
        <v>786.314</v>
      </c>
      <c r="V18" s="235">
        <f t="shared" si="1"/>
        <v>260.689</v>
      </c>
      <c r="W18" s="237">
        <f t="shared" si="1"/>
        <v>162.85999999999999</v>
      </c>
      <c r="X18" s="234">
        <f t="shared" si="1"/>
        <v>1214.089</v>
      </c>
      <c r="Y18" s="235">
        <f t="shared" si="1"/>
        <v>434.274</v>
      </c>
    </row>
    <row r="19" spans="1:25" ht="12.75">
      <c r="A19" s="1"/>
      <c r="B19" s="1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1"/>
      <c r="T19" s="1"/>
      <c r="U19" s="238"/>
      <c r="V19" s="1"/>
      <c r="W19" s="1"/>
      <c r="X19" s="1"/>
      <c r="Y19" s="1"/>
    </row>
    <row r="20" spans="1:25" ht="13.5" thickBot="1">
      <c r="A20" s="1"/>
      <c r="B20" s="1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1"/>
      <c r="T20" s="1"/>
      <c r="U20" s="238"/>
      <c r="V20" s="1"/>
      <c r="W20" s="1"/>
      <c r="X20" s="1"/>
      <c r="Y20" s="1"/>
    </row>
    <row r="21" spans="1:25" ht="12.75">
      <c r="A21" s="1349" t="s">
        <v>830</v>
      </c>
      <c r="B21" s="1350"/>
      <c r="C21" s="1350"/>
      <c r="D21" s="1351"/>
      <c r="E21" s="238"/>
      <c r="F21" s="238"/>
      <c r="G21" s="238"/>
      <c r="H21" s="238"/>
      <c r="I21" s="238"/>
      <c r="J21" s="238"/>
      <c r="K21" s="238"/>
      <c r="L21" s="238"/>
      <c r="M21" s="1"/>
      <c r="N21" s="238"/>
      <c r="O21" s="238"/>
      <c r="P21" s="238"/>
      <c r="Q21" s="238"/>
      <c r="R21" s="238"/>
      <c r="S21" s="1"/>
      <c r="T21" s="1"/>
      <c r="U21" s="238"/>
      <c r="V21" s="1"/>
      <c r="W21" s="1"/>
      <c r="X21" s="1"/>
      <c r="Y21" s="1"/>
    </row>
    <row r="22" spans="1:25" ht="12.75">
      <c r="A22" s="1352" t="s">
        <v>831</v>
      </c>
      <c r="B22" s="239"/>
      <c r="C22" s="238"/>
      <c r="D22" s="240"/>
      <c r="E22" s="238"/>
      <c r="F22" s="238"/>
      <c r="G22" s="238"/>
      <c r="H22" s="238"/>
      <c r="I22" s="238"/>
      <c r="J22" s="238"/>
      <c r="K22" s="238"/>
      <c r="L22" s="238"/>
      <c r="M22" s="238" t="s">
        <v>191</v>
      </c>
      <c r="N22" s="238"/>
      <c r="O22" s="238"/>
      <c r="P22" s="238"/>
      <c r="Q22" s="238"/>
      <c r="R22" s="238"/>
      <c r="S22" s="1"/>
      <c r="T22" s="1"/>
      <c r="U22" s="238"/>
      <c r="V22" s="1"/>
      <c r="W22" s="1"/>
      <c r="X22" s="1"/>
      <c r="Y22" s="1"/>
    </row>
    <row r="23" spans="1:25" ht="89.25" customHeight="1">
      <c r="A23" s="1353"/>
      <c r="B23" s="239"/>
      <c r="C23" s="907" t="s">
        <v>328</v>
      </c>
      <c r="D23" s="908" t="s">
        <v>329</v>
      </c>
      <c r="E23" s="238"/>
      <c r="F23" s="238"/>
      <c r="G23" s="238"/>
      <c r="H23" s="238"/>
      <c r="I23" s="238"/>
      <c r="J23" s="238"/>
      <c r="K23" s="238"/>
      <c r="L23" s="238"/>
      <c r="M23" s="241"/>
      <c r="N23" s="241"/>
      <c r="O23" s="238"/>
      <c r="P23" s="238"/>
      <c r="Q23" s="238"/>
      <c r="R23" s="238"/>
      <c r="S23" s="1"/>
      <c r="T23" s="915"/>
      <c r="U23" s="915"/>
      <c r="V23" s="915"/>
      <c r="W23" s="1"/>
      <c r="X23" s="1"/>
      <c r="Y23" s="1"/>
    </row>
    <row r="24" spans="1:34" ht="13.5" thickBot="1">
      <c r="A24" s="1354"/>
      <c r="B24" s="242"/>
      <c r="C24" s="212" t="s">
        <v>88</v>
      </c>
      <c r="D24" s="243" t="s">
        <v>88</v>
      </c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44"/>
      <c r="P24" s="244"/>
      <c r="Q24" s="1355"/>
      <c r="R24" s="1355"/>
      <c r="S24" s="1"/>
      <c r="T24" s="833"/>
      <c r="U24" s="910"/>
      <c r="V24" s="910"/>
      <c r="W24" s="1"/>
      <c r="X24" s="423"/>
      <c r="Y24" s="423"/>
      <c r="Z24" s="839"/>
      <c r="AA24" s="839"/>
      <c r="AB24" s="839"/>
      <c r="AC24" s="839"/>
      <c r="AD24" s="839"/>
      <c r="AE24" s="839"/>
      <c r="AF24" s="839"/>
      <c r="AG24" s="839"/>
      <c r="AH24" s="839"/>
    </row>
    <row r="25" spans="1:34" ht="13.5" thickTop="1">
      <c r="A25" s="209" t="s">
        <v>496</v>
      </c>
      <c r="B25" s="247"/>
      <c r="C25" s="248">
        <f>SUM(C6,E6,G6,I6,K6,M6,O6,P6,R6,T6,U6,W6,X6)</f>
        <v>13347.528</v>
      </c>
      <c r="D25" s="248">
        <f>SUM(D6,F6,H6,J6,L6,N6,Q6,S6,V6,Y6)</f>
        <v>20610.293</v>
      </c>
      <c r="E25" s="238"/>
      <c r="F25" s="238"/>
      <c r="G25" s="238"/>
      <c r="H25" s="238"/>
      <c r="I25" s="238"/>
      <c r="J25" s="238"/>
      <c r="K25" s="238"/>
      <c r="L25" s="238"/>
      <c r="M25" s="249"/>
      <c r="N25" s="241"/>
      <c r="O25" s="250"/>
      <c r="P25" s="250"/>
      <c r="Q25" s="251"/>
      <c r="R25" s="251"/>
      <c r="S25" s="1"/>
      <c r="T25" s="833"/>
      <c r="U25" s="911"/>
      <c r="V25" s="911"/>
      <c r="W25" s="1"/>
      <c r="X25" s="423"/>
      <c r="Y25" s="423"/>
      <c r="Z25" s="839"/>
      <c r="AA25" s="839"/>
      <c r="AB25" s="839"/>
      <c r="AC25" s="839"/>
      <c r="AD25" s="839"/>
      <c r="AE25" s="839"/>
      <c r="AF25" s="839"/>
      <c r="AG25" s="839"/>
      <c r="AH25" s="839"/>
    </row>
    <row r="26" spans="1:34" ht="12.75">
      <c r="A26" s="209" t="s">
        <v>497</v>
      </c>
      <c r="B26" s="252"/>
      <c r="C26" s="253">
        <f aca="true" t="shared" si="2" ref="C26:C36">SUM(C7,E7,G7,I7,K7,M7,O7,P7,R7,T7,U7,W7,X7)</f>
        <v>3841.0830000000005</v>
      </c>
      <c r="D26" s="253">
        <f aca="true" t="shared" si="3" ref="D26:D36">SUM(D7,F7,H7,J7,L7,N7,Q7,S7,V7,Y7)</f>
        <v>41426.224</v>
      </c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54"/>
      <c r="P26" s="250"/>
      <c r="Q26" s="251"/>
      <c r="R26" s="251"/>
      <c r="S26" s="1"/>
      <c r="T26" s="833"/>
      <c r="U26" s="911"/>
      <c r="V26" s="911"/>
      <c r="W26" s="1"/>
      <c r="X26" s="423"/>
      <c r="Y26" s="423"/>
      <c r="Z26" s="839"/>
      <c r="AA26" s="839"/>
      <c r="AB26" s="839"/>
      <c r="AC26" s="839"/>
      <c r="AD26" s="839"/>
      <c r="AE26" s="839"/>
      <c r="AF26" s="839"/>
      <c r="AG26" s="839"/>
      <c r="AH26" s="839"/>
    </row>
    <row r="27" spans="1:34" ht="12.75">
      <c r="A27" s="209" t="s">
        <v>498</v>
      </c>
      <c r="B27" s="252"/>
      <c r="C27" s="255">
        <f t="shared" si="2"/>
        <v>1447.3559999999998</v>
      </c>
      <c r="D27" s="255">
        <f t="shared" si="3"/>
        <v>54345.672</v>
      </c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50"/>
      <c r="P27" s="250"/>
      <c r="Q27" s="251"/>
      <c r="R27" s="251"/>
      <c r="S27" s="1"/>
      <c r="T27" s="833"/>
      <c r="U27" s="911"/>
      <c r="V27" s="911"/>
      <c r="W27" s="1"/>
      <c r="X27" s="423"/>
      <c r="Y27" s="423"/>
      <c r="Z27" s="839"/>
      <c r="AA27" s="839"/>
      <c r="AB27" s="839"/>
      <c r="AC27" s="839"/>
      <c r="AD27" s="839"/>
      <c r="AE27" s="839"/>
      <c r="AF27" s="839"/>
      <c r="AG27" s="839"/>
      <c r="AH27" s="839"/>
    </row>
    <row r="28" spans="1:25" ht="12.75">
      <c r="A28" s="209" t="s">
        <v>499</v>
      </c>
      <c r="B28" s="252"/>
      <c r="C28" s="253">
        <f t="shared" si="2"/>
        <v>8092.882</v>
      </c>
      <c r="D28" s="253">
        <f t="shared" si="3"/>
        <v>18851.253999999997</v>
      </c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50"/>
      <c r="P28" s="250"/>
      <c r="Q28" s="256"/>
      <c r="R28" s="256"/>
      <c r="S28" s="1"/>
      <c r="T28" s="833"/>
      <c r="U28" s="911"/>
      <c r="V28" s="911"/>
      <c r="W28" s="1"/>
      <c r="X28" s="1"/>
      <c r="Y28" s="1"/>
    </row>
    <row r="29" spans="1:25" ht="12.75">
      <c r="A29" s="209" t="s">
        <v>93</v>
      </c>
      <c r="B29" s="252"/>
      <c r="C29" s="255">
        <f>SUM(C10,E10,G10,I10,K10,M10,O10,P10,R10,T10,U10,W10,X10)</f>
        <v>9217.926000000001</v>
      </c>
      <c r="D29" s="255">
        <f>SUM(D10,F10,H10,J10,L10,N10,Q10,S10,V10,Y10)</f>
        <v>16888.692</v>
      </c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50"/>
      <c r="P29" s="250"/>
      <c r="Q29" s="256"/>
      <c r="R29" s="256"/>
      <c r="S29" s="1"/>
      <c r="T29" s="269"/>
      <c r="U29" s="911"/>
      <c r="V29" s="911"/>
      <c r="W29" s="1"/>
      <c r="X29" s="1"/>
      <c r="Y29" s="1"/>
    </row>
    <row r="30" spans="1:25" ht="12.75">
      <c r="A30" s="209" t="s">
        <v>500</v>
      </c>
      <c r="B30" s="252"/>
      <c r="C30" s="253">
        <f t="shared" si="2"/>
        <v>10525.763</v>
      </c>
      <c r="D30" s="253">
        <f t="shared" si="3"/>
        <v>12238.14</v>
      </c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50"/>
      <c r="P30" s="250"/>
      <c r="Q30" s="256"/>
      <c r="R30" s="256"/>
      <c r="S30" s="1"/>
      <c r="T30" s="269"/>
      <c r="U30" s="911"/>
      <c r="V30" s="911"/>
      <c r="W30" s="1"/>
      <c r="X30" s="1"/>
      <c r="Y30" s="1"/>
    </row>
    <row r="31" spans="1:25" ht="12.75">
      <c r="A31" s="209" t="s">
        <v>501</v>
      </c>
      <c r="B31" s="252"/>
      <c r="C31" s="255">
        <f t="shared" si="2"/>
        <v>7246.718</v>
      </c>
      <c r="D31" s="255">
        <f t="shared" si="3"/>
        <v>22009.974000000002</v>
      </c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50"/>
      <c r="P31" s="250"/>
      <c r="Q31" s="256"/>
      <c r="R31" s="256"/>
      <c r="S31" s="1"/>
      <c r="T31" s="269"/>
      <c r="U31" s="911"/>
      <c r="V31" s="912"/>
      <c r="W31" s="1"/>
      <c r="X31" s="1"/>
      <c r="Y31" s="1"/>
    </row>
    <row r="32" spans="1:26" ht="12.75">
      <c r="A32" s="209" t="s">
        <v>502</v>
      </c>
      <c r="B32" s="252"/>
      <c r="C32" s="257">
        <f t="shared" si="2"/>
        <v>35094.77599999999</v>
      </c>
      <c r="D32" s="257">
        <f t="shared" si="3"/>
        <v>23199.944000000003</v>
      </c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50"/>
      <c r="P32" s="250"/>
      <c r="Q32" s="256"/>
      <c r="R32" s="256"/>
      <c r="S32" s="1"/>
      <c r="T32" s="574"/>
      <c r="U32" s="912"/>
      <c r="V32" s="912"/>
      <c r="W32" s="906"/>
      <c r="X32" s="843"/>
      <c r="Y32" s="843"/>
      <c r="Z32" s="843"/>
    </row>
    <row r="33" spans="1:26" ht="12.75">
      <c r="A33" s="209" t="s">
        <v>567</v>
      </c>
      <c r="B33" s="252"/>
      <c r="C33" s="253">
        <f t="shared" si="2"/>
        <v>0</v>
      </c>
      <c r="D33" s="253">
        <f t="shared" si="3"/>
        <v>0</v>
      </c>
      <c r="E33" s="238"/>
      <c r="F33" s="238"/>
      <c r="G33" s="238"/>
      <c r="H33" s="238"/>
      <c r="I33" s="238"/>
      <c r="J33" s="238"/>
      <c r="K33" s="238"/>
      <c r="L33" s="238"/>
      <c r="M33" s="1"/>
      <c r="N33" s="238"/>
      <c r="O33" s="250"/>
      <c r="P33" s="250"/>
      <c r="Q33" s="256"/>
      <c r="R33" s="256"/>
      <c r="S33" s="260"/>
      <c r="T33" s="269"/>
      <c r="U33" s="913"/>
      <c r="V33" s="914"/>
      <c r="W33" s="906"/>
      <c r="X33" s="843"/>
      <c r="Y33" s="843"/>
      <c r="Z33" s="843"/>
    </row>
    <row r="34" spans="1:25" ht="12.75">
      <c r="A34" s="209" t="s">
        <v>733</v>
      </c>
      <c r="B34" s="252"/>
      <c r="C34" s="261">
        <f t="shared" si="2"/>
        <v>0</v>
      </c>
      <c r="D34" s="261">
        <f t="shared" si="3"/>
        <v>0</v>
      </c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50"/>
      <c r="P34" s="250"/>
      <c r="Q34" s="256"/>
      <c r="R34" s="256"/>
      <c r="S34" s="262"/>
      <c r="T34" s="269"/>
      <c r="U34" s="913"/>
      <c r="V34" s="913"/>
      <c r="W34" s="1"/>
      <c r="X34" s="1"/>
      <c r="Y34" s="1"/>
    </row>
    <row r="35" spans="1:25" ht="12.75">
      <c r="A35" s="209" t="s">
        <v>734</v>
      </c>
      <c r="B35" s="252"/>
      <c r="C35" s="255">
        <f t="shared" si="2"/>
        <v>0</v>
      </c>
      <c r="D35" s="255">
        <f t="shared" si="3"/>
        <v>0</v>
      </c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50"/>
      <c r="P35" s="250"/>
      <c r="Q35" s="256"/>
      <c r="R35" s="256"/>
      <c r="S35" s="263"/>
      <c r="T35" s="269"/>
      <c r="U35" s="913"/>
      <c r="V35" s="913"/>
      <c r="W35" s="1"/>
      <c r="X35" s="1"/>
      <c r="Y35" s="1"/>
    </row>
    <row r="36" spans="1:25" ht="12.75">
      <c r="A36" s="209" t="s">
        <v>735</v>
      </c>
      <c r="B36" s="252"/>
      <c r="C36" s="253">
        <f t="shared" si="2"/>
        <v>0</v>
      </c>
      <c r="D36" s="253">
        <f t="shared" si="3"/>
        <v>0</v>
      </c>
      <c r="E36" s="238"/>
      <c r="F36" s="238"/>
      <c r="G36" s="238"/>
      <c r="H36" s="238"/>
      <c r="I36" s="238"/>
      <c r="J36" s="238"/>
      <c r="K36" s="238"/>
      <c r="L36" s="238"/>
      <c r="M36" s="264"/>
      <c r="N36" s="238"/>
      <c r="O36" s="250"/>
      <c r="P36" s="250"/>
      <c r="Q36" s="256"/>
      <c r="R36" s="256"/>
      <c r="S36" s="263"/>
      <c r="T36" s="269"/>
      <c r="U36" s="909"/>
      <c r="V36" s="574"/>
      <c r="W36" s="1"/>
      <c r="X36" s="1"/>
      <c r="Y36" s="1"/>
    </row>
    <row r="37" spans="1:25" ht="13.5" thickBot="1">
      <c r="A37" s="232" t="s">
        <v>17</v>
      </c>
      <c r="B37" s="267"/>
      <c r="C37" s="268">
        <f>SUM(C25:C36)</f>
        <v>88814.03199999999</v>
      </c>
      <c r="D37" s="268">
        <f>SUM(D25:D36)</f>
        <v>209570.19300000003</v>
      </c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50"/>
      <c r="P37" s="250"/>
      <c r="Q37" s="256"/>
      <c r="R37" s="256"/>
      <c r="S37" s="263"/>
      <c r="T37" s="269"/>
      <c r="U37" s="266"/>
      <c r="V37" s="2"/>
      <c r="W37" s="1"/>
      <c r="X37" s="1"/>
      <c r="Y37" s="1"/>
    </row>
    <row r="38" spans="20:22" ht="12.75">
      <c r="T38" s="265"/>
      <c r="U38" s="270"/>
      <c r="V38" s="271"/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64" spans="24:28" ht="12.75">
      <c r="X64" s="1132" t="s">
        <v>441</v>
      </c>
      <c r="Y64" s="1132"/>
      <c r="Z64" s="1132"/>
      <c r="AA64" s="1132"/>
      <c r="AB64" s="1132"/>
    </row>
  </sheetData>
  <sheetProtection/>
  <mergeCells count="7">
    <mergeCell ref="X64:AB64"/>
    <mergeCell ref="A1:Y1"/>
    <mergeCell ref="A2:Y2"/>
    <mergeCell ref="A3:A5"/>
    <mergeCell ref="A21:D21"/>
    <mergeCell ref="A22:A24"/>
    <mergeCell ref="Q24:R24"/>
  </mergeCells>
  <printOptions/>
  <pageMargins left="0.25" right="0.25" top="0.75" bottom="0.75" header="0.3" footer="0.3"/>
  <pageSetup orientation="landscape" scale="5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36"/>
  <sheetViews>
    <sheetView view="pageBreakPreview" zoomScaleSheetLayoutView="100" zoomScalePageLayoutView="0" workbookViewId="0" topLeftCell="A3">
      <selection activeCell="H33" sqref="H33"/>
    </sheetView>
  </sheetViews>
  <sheetFormatPr defaultColWidth="9.140625" defaultRowHeight="15"/>
  <cols>
    <col min="1" max="1" width="3.00390625" style="1" bestFit="1" customWidth="1"/>
    <col min="2" max="2" width="35.00390625" style="1" bestFit="1" customWidth="1"/>
    <col min="3" max="3" width="26.57421875" style="1" bestFit="1" customWidth="1"/>
    <col min="4" max="4" width="9.8515625" style="1" bestFit="1" customWidth="1"/>
    <col min="5" max="5" width="22.00390625" style="1" bestFit="1" customWidth="1"/>
    <col min="6" max="6" width="14.7109375" style="1" bestFit="1" customWidth="1"/>
    <col min="7" max="16384" width="9.140625" style="1" customWidth="1"/>
  </cols>
  <sheetData>
    <row r="1" spans="1:16" ht="12.75" customHeight="1">
      <c r="A1" s="1364" t="s">
        <v>832</v>
      </c>
      <c r="B1" s="1365"/>
      <c r="C1" s="1358" t="s">
        <v>839</v>
      </c>
      <c r="D1" s="1359"/>
      <c r="E1" s="1360"/>
      <c r="F1" s="1097" t="s">
        <v>129</v>
      </c>
      <c r="G1" s="855"/>
      <c r="H1" s="855"/>
      <c r="I1" s="855"/>
      <c r="J1" s="855"/>
      <c r="K1" s="855"/>
      <c r="L1" s="855"/>
      <c r="M1" s="855"/>
      <c r="N1" s="855"/>
      <c r="O1" s="855"/>
      <c r="P1" s="855"/>
    </row>
    <row r="2" spans="1:14" ht="15" customHeight="1">
      <c r="A2" s="1366"/>
      <c r="B2" s="1367"/>
      <c r="C2" s="1361" t="s">
        <v>833</v>
      </c>
      <c r="D2" s="1362"/>
      <c r="E2" s="1363"/>
      <c r="F2" s="1098" t="s">
        <v>130</v>
      </c>
      <c r="G2" s="864"/>
      <c r="H2" s="864"/>
      <c r="I2" s="864"/>
      <c r="J2" s="864"/>
      <c r="K2" s="851"/>
      <c r="L2" s="851"/>
      <c r="M2" s="851"/>
      <c r="N2" s="851"/>
    </row>
    <row r="3" spans="1:6" ht="12.75" customHeight="1">
      <c r="A3" s="1366"/>
      <c r="B3" s="1367"/>
      <c r="C3" s="1361" t="s">
        <v>834</v>
      </c>
      <c r="D3" s="1362"/>
      <c r="E3" s="1363"/>
      <c r="F3" s="1098" t="s">
        <v>835</v>
      </c>
    </row>
    <row r="4" spans="1:6" ht="12.75" customHeight="1">
      <c r="A4" s="1366"/>
      <c r="B4" s="1367"/>
      <c r="C4" s="1361" t="s">
        <v>837</v>
      </c>
      <c r="D4" s="1362"/>
      <c r="E4" s="1363"/>
      <c r="F4" s="1098" t="s">
        <v>838</v>
      </c>
    </row>
    <row r="5" spans="1:6" ht="15.75" customHeight="1" thickBot="1">
      <c r="A5" s="1368"/>
      <c r="B5" s="1369"/>
      <c r="C5" s="1370" t="s">
        <v>836</v>
      </c>
      <c r="D5" s="1371"/>
      <c r="E5" s="1372"/>
      <c r="F5" s="1099" t="s">
        <v>44</v>
      </c>
    </row>
    <row r="6" spans="1:6" ht="12.75">
      <c r="A6" s="952">
        <v>1</v>
      </c>
      <c r="B6" s="200" t="s">
        <v>131</v>
      </c>
      <c r="C6" s="201" t="s">
        <v>302</v>
      </c>
      <c r="D6" s="1027">
        <v>54</v>
      </c>
      <c r="E6" s="202">
        <v>42189</v>
      </c>
      <c r="F6" s="953" t="s">
        <v>840</v>
      </c>
    </row>
    <row r="7" spans="1:6" ht="12.75">
      <c r="A7" s="952">
        <v>2</v>
      </c>
      <c r="B7" s="200" t="s">
        <v>132</v>
      </c>
      <c r="C7" s="201" t="s">
        <v>198</v>
      </c>
      <c r="D7" s="1027">
        <v>58</v>
      </c>
      <c r="E7" s="202" t="s">
        <v>378</v>
      </c>
      <c r="F7" s="953" t="s">
        <v>840</v>
      </c>
    </row>
    <row r="8" spans="1:6" ht="12.75">
      <c r="A8" s="952">
        <v>3</v>
      </c>
      <c r="B8" s="200" t="s">
        <v>133</v>
      </c>
      <c r="C8" s="201" t="s">
        <v>199</v>
      </c>
      <c r="D8" s="1027">
        <v>3</v>
      </c>
      <c r="E8" s="202" t="s">
        <v>379</v>
      </c>
      <c r="F8" s="953" t="s">
        <v>840</v>
      </c>
    </row>
    <row r="9" spans="1:6" ht="12.75">
      <c r="A9" s="952">
        <v>4</v>
      </c>
      <c r="B9" s="200" t="s">
        <v>134</v>
      </c>
      <c r="C9" s="201" t="s">
        <v>303</v>
      </c>
      <c r="D9" s="1027">
        <v>47</v>
      </c>
      <c r="E9" s="202" t="s">
        <v>380</v>
      </c>
      <c r="F9" s="953" t="s">
        <v>841</v>
      </c>
    </row>
    <row r="10" spans="1:6" ht="12.75">
      <c r="A10" s="952">
        <v>5</v>
      </c>
      <c r="B10" s="200" t="s">
        <v>135</v>
      </c>
      <c r="C10" s="201" t="s">
        <v>304</v>
      </c>
      <c r="D10" s="1027">
        <v>40</v>
      </c>
      <c r="E10" s="202" t="s">
        <v>381</v>
      </c>
      <c r="F10" s="953" t="s">
        <v>840</v>
      </c>
    </row>
    <row r="11" spans="1:6" ht="12.75">
      <c r="A11" s="952">
        <v>6</v>
      </c>
      <c r="B11" s="200" t="s">
        <v>136</v>
      </c>
      <c r="C11" s="201" t="s">
        <v>305</v>
      </c>
      <c r="D11" s="1027">
        <v>21</v>
      </c>
      <c r="E11" s="202" t="s">
        <v>382</v>
      </c>
      <c r="F11" s="953" t="s">
        <v>840</v>
      </c>
    </row>
    <row r="12" spans="1:6" ht="12.75">
      <c r="A12" s="952">
        <v>7</v>
      </c>
      <c r="B12" s="200" t="s">
        <v>137</v>
      </c>
      <c r="C12" s="201" t="s">
        <v>306</v>
      </c>
      <c r="D12" s="1027">
        <v>62</v>
      </c>
      <c r="E12" s="202" t="s">
        <v>383</v>
      </c>
      <c r="F12" s="953" t="s">
        <v>840</v>
      </c>
    </row>
    <row r="13" spans="1:6" ht="12.75">
      <c r="A13" s="952">
        <v>8</v>
      </c>
      <c r="B13" s="200" t="s">
        <v>138</v>
      </c>
      <c r="C13" s="201" t="s">
        <v>307</v>
      </c>
      <c r="D13" s="1027">
        <v>18</v>
      </c>
      <c r="E13" s="202" t="s">
        <v>384</v>
      </c>
      <c r="F13" s="953" t="s">
        <v>840</v>
      </c>
    </row>
    <row r="14" spans="1:6" ht="12.75">
      <c r="A14" s="952">
        <v>9</v>
      </c>
      <c r="B14" s="200" t="s">
        <v>139</v>
      </c>
      <c r="C14" s="201" t="s">
        <v>308</v>
      </c>
      <c r="D14" s="1027">
        <v>56</v>
      </c>
      <c r="E14" s="202">
        <v>42109</v>
      </c>
      <c r="F14" s="953" t="s">
        <v>130</v>
      </c>
    </row>
    <row r="15" spans="1:6" ht="12.75">
      <c r="A15" s="952">
        <v>10</v>
      </c>
      <c r="B15" s="200" t="s">
        <v>140</v>
      </c>
      <c r="C15" s="201" t="s">
        <v>309</v>
      </c>
      <c r="D15" s="1027">
        <v>68</v>
      </c>
      <c r="E15" s="202">
        <v>42353</v>
      </c>
      <c r="F15" s="953" t="s">
        <v>840</v>
      </c>
    </row>
    <row r="16" spans="1:6" ht="12.75">
      <c r="A16" s="952">
        <v>11</v>
      </c>
      <c r="B16" s="200" t="s">
        <v>141</v>
      </c>
      <c r="C16" s="201" t="s">
        <v>197</v>
      </c>
      <c r="D16" s="1027">
        <v>20</v>
      </c>
      <c r="E16" s="202" t="s">
        <v>385</v>
      </c>
      <c r="F16" s="953" t="s">
        <v>129</v>
      </c>
    </row>
    <row r="17" spans="1:6" ht="12.75">
      <c r="A17" s="952">
        <v>12</v>
      </c>
      <c r="B17" s="200" t="s">
        <v>142</v>
      </c>
      <c r="C17" s="201" t="s">
        <v>310</v>
      </c>
      <c r="D17" s="1027">
        <v>24</v>
      </c>
      <c r="E17" s="202" t="s">
        <v>386</v>
      </c>
      <c r="F17" s="953" t="s">
        <v>840</v>
      </c>
    </row>
    <row r="18" spans="1:6" ht="12.75">
      <c r="A18" s="952">
        <v>13</v>
      </c>
      <c r="B18" s="200" t="s">
        <v>143</v>
      </c>
      <c r="C18" s="201" t="s">
        <v>311</v>
      </c>
      <c r="D18" s="1027">
        <v>32</v>
      </c>
      <c r="E18" s="202" t="s">
        <v>387</v>
      </c>
      <c r="F18" s="953" t="s">
        <v>129</v>
      </c>
    </row>
    <row r="19" spans="1:6" ht="12.75">
      <c r="A19" s="952">
        <v>14</v>
      </c>
      <c r="B19" s="200" t="s">
        <v>194</v>
      </c>
      <c r="C19" s="201" t="s">
        <v>312</v>
      </c>
      <c r="D19" s="1027">
        <v>50</v>
      </c>
      <c r="E19" s="202" t="s">
        <v>388</v>
      </c>
      <c r="F19" s="953" t="s">
        <v>840</v>
      </c>
    </row>
    <row r="20" spans="1:6" ht="12.75">
      <c r="A20" s="952">
        <v>15</v>
      </c>
      <c r="B20" s="200" t="s">
        <v>144</v>
      </c>
      <c r="C20" s="201" t="s">
        <v>313</v>
      </c>
      <c r="D20" s="1027">
        <v>4</v>
      </c>
      <c r="E20" s="202" t="s">
        <v>389</v>
      </c>
      <c r="F20" s="953" t="s">
        <v>840</v>
      </c>
    </row>
    <row r="21" spans="1:6" ht="12.75">
      <c r="A21" s="952">
        <v>16</v>
      </c>
      <c r="B21" s="200" t="s">
        <v>145</v>
      </c>
      <c r="C21" s="201" t="s">
        <v>314</v>
      </c>
      <c r="D21" s="1027">
        <v>33</v>
      </c>
      <c r="E21" s="202" t="s">
        <v>387</v>
      </c>
      <c r="F21" s="953" t="s">
        <v>129</v>
      </c>
    </row>
    <row r="22" spans="1:6" ht="12.75">
      <c r="A22" s="952">
        <v>17</v>
      </c>
      <c r="B22" s="200" t="s">
        <v>146</v>
      </c>
      <c r="C22" s="201" t="s">
        <v>315</v>
      </c>
      <c r="D22" s="1027">
        <v>65</v>
      </c>
      <c r="E22" s="202" t="s">
        <v>390</v>
      </c>
      <c r="F22" s="953" t="s">
        <v>130</v>
      </c>
    </row>
    <row r="23" spans="1:6" ht="12.75">
      <c r="A23" s="952">
        <v>18</v>
      </c>
      <c r="B23" s="200" t="s">
        <v>147</v>
      </c>
      <c r="C23" s="201" t="s">
        <v>316</v>
      </c>
      <c r="D23" s="1027">
        <v>16</v>
      </c>
      <c r="E23" s="202" t="s">
        <v>391</v>
      </c>
      <c r="F23" s="953" t="s">
        <v>840</v>
      </c>
    </row>
    <row r="24" spans="1:6" ht="12.75">
      <c r="A24" s="952">
        <v>19</v>
      </c>
      <c r="B24" s="200" t="s">
        <v>148</v>
      </c>
      <c r="C24" s="201" t="s">
        <v>317</v>
      </c>
      <c r="D24" s="1027">
        <v>12</v>
      </c>
      <c r="E24" s="202" t="s">
        <v>392</v>
      </c>
      <c r="F24" s="953" t="s">
        <v>324</v>
      </c>
    </row>
    <row r="25" spans="1:6" ht="12.75">
      <c r="A25" s="952">
        <v>20</v>
      </c>
      <c r="B25" s="200" t="s">
        <v>149</v>
      </c>
      <c r="C25" s="201" t="s">
        <v>318</v>
      </c>
      <c r="D25" s="1027">
        <v>35</v>
      </c>
      <c r="E25" s="202" t="s">
        <v>393</v>
      </c>
      <c r="F25" s="953" t="s">
        <v>842</v>
      </c>
    </row>
    <row r="26" spans="1:6" ht="12.75">
      <c r="A26" s="952">
        <v>21</v>
      </c>
      <c r="B26" s="200" t="s">
        <v>394</v>
      </c>
      <c r="C26" s="201" t="s">
        <v>395</v>
      </c>
      <c r="D26" s="1027">
        <v>74</v>
      </c>
      <c r="E26" s="202" t="s">
        <v>396</v>
      </c>
      <c r="F26" s="953" t="s">
        <v>843</v>
      </c>
    </row>
    <row r="27" spans="1:6" ht="12.75">
      <c r="A27" s="952">
        <v>22</v>
      </c>
      <c r="B27" s="200" t="s">
        <v>150</v>
      </c>
      <c r="C27" s="201" t="s">
        <v>319</v>
      </c>
      <c r="D27" s="1027">
        <v>52</v>
      </c>
      <c r="E27" s="202" t="s">
        <v>397</v>
      </c>
      <c r="F27" s="953" t="s">
        <v>843</v>
      </c>
    </row>
    <row r="28" spans="1:6" ht="12.75">
      <c r="A28" s="952">
        <v>23</v>
      </c>
      <c r="B28" s="200" t="s">
        <v>320</v>
      </c>
      <c r="C28" s="201" t="s">
        <v>321</v>
      </c>
      <c r="D28" s="1027">
        <v>7</v>
      </c>
      <c r="E28" s="202" t="s">
        <v>392</v>
      </c>
      <c r="F28" s="953" t="s">
        <v>844</v>
      </c>
    </row>
    <row r="29" spans="1:6" ht="12.75">
      <c r="A29" s="952">
        <v>24</v>
      </c>
      <c r="B29" s="200" t="s">
        <v>322</v>
      </c>
      <c r="C29" s="201" t="s">
        <v>323</v>
      </c>
      <c r="D29" s="1027">
        <v>38</v>
      </c>
      <c r="E29" s="202" t="s">
        <v>398</v>
      </c>
      <c r="F29" s="953" t="s">
        <v>324</v>
      </c>
    </row>
    <row r="30" spans="1:6" ht="12.75">
      <c r="A30" s="952">
        <v>25</v>
      </c>
      <c r="B30" s="200" t="s">
        <v>151</v>
      </c>
      <c r="C30" s="201" t="s">
        <v>399</v>
      </c>
      <c r="D30" s="1027">
        <v>64</v>
      </c>
      <c r="E30" s="202" t="s">
        <v>400</v>
      </c>
      <c r="F30" s="953" t="s">
        <v>129</v>
      </c>
    </row>
    <row r="31" spans="1:6" ht="12.75">
      <c r="A31" s="952">
        <v>26</v>
      </c>
      <c r="B31" s="200" t="s">
        <v>192</v>
      </c>
      <c r="C31" s="201" t="s">
        <v>193</v>
      </c>
      <c r="D31" s="1027">
        <v>6</v>
      </c>
      <c r="E31" s="202" t="s">
        <v>401</v>
      </c>
      <c r="F31" s="953" t="s">
        <v>840</v>
      </c>
    </row>
    <row r="32" spans="1:6" ht="12.75">
      <c r="A32" s="952">
        <v>27</v>
      </c>
      <c r="B32" s="200" t="s">
        <v>352</v>
      </c>
      <c r="C32" s="201" t="s">
        <v>353</v>
      </c>
      <c r="D32" s="1027">
        <v>71</v>
      </c>
      <c r="E32" s="202" t="s">
        <v>402</v>
      </c>
      <c r="F32" s="953" t="s">
        <v>130</v>
      </c>
    </row>
    <row r="33" spans="1:6" ht="12.75">
      <c r="A33" s="952">
        <v>28</v>
      </c>
      <c r="B33" s="200" t="s">
        <v>354</v>
      </c>
      <c r="C33" s="201" t="s">
        <v>355</v>
      </c>
      <c r="D33" s="1027">
        <v>72</v>
      </c>
      <c r="E33" s="202" t="s">
        <v>403</v>
      </c>
      <c r="F33" s="953" t="s">
        <v>840</v>
      </c>
    </row>
    <row r="34" spans="1:6" ht="12.75">
      <c r="A34" s="952">
        <v>29</v>
      </c>
      <c r="B34" s="200" t="s">
        <v>404</v>
      </c>
      <c r="C34" s="201" t="s">
        <v>356</v>
      </c>
      <c r="D34" s="1027">
        <v>66</v>
      </c>
      <c r="E34" s="202" t="s">
        <v>405</v>
      </c>
      <c r="F34" s="953" t="s">
        <v>840</v>
      </c>
    </row>
    <row r="35" spans="1:6" ht="12.75">
      <c r="A35" s="952">
        <v>30</v>
      </c>
      <c r="B35" s="200" t="s">
        <v>406</v>
      </c>
      <c r="C35" s="201" t="s">
        <v>407</v>
      </c>
      <c r="D35" s="1027">
        <v>4517</v>
      </c>
      <c r="E35" s="202" t="s">
        <v>408</v>
      </c>
      <c r="F35" s="953" t="s">
        <v>130</v>
      </c>
    </row>
    <row r="36" spans="1:6" ht="13.5" thickBot="1">
      <c r="A36" s="954"/>
      <c r="B36" s="955"/>
      <c r="C36" s="955"/>
      <c r="D36" s="955"/>
      <c r="E36" s="1356" t="s">
        <v>448</v>
      </c>
      <c r="F36" s="1357"/>
    </row>
  </sheetData>
  <sheetProtection/>
  <mergeCells count="7">
    <mergeCell ref="A1:B5"/>
    <mergeCell ref="C5:E5"/>
    <mergeCell ref="E36:F36"/>
    <mergeCell ref="C1:E1"/>
    <mergeCell ref="C2:E2"/>
    <mergeCell ref="C3:E3"/>
    <mergeCell ref="C4:E4"/>
  </mergeCells>
  <printOptions/>
  <pageMargins left="0.25" right="0.25" top="0.75" bottom="0.75" header="0.3" footer="0.3"/>
  <pageSetup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="115" zoomScaleNormal="115" zoomScalePageLayoutView="0" workbookViewId="0" topLeftCell="A1">
      <selection activeCell="B23" sqref="B23"/>
    </sheetView>
  </sheetViews>
  <sheetFormatPr defaultColWidth="9.140625" defaultRowHeight="15"/>
  <cols>
    <col min="1" max="1" width="3.28125" style="1" bestFit="1" customWidth="1"/>
    <col min="2" max="2" width="51.00390625" style="1" bestFit="1" customWidth="1"/>
    <col min="3" max="7" width="6.57421875" style="1" bestFit="1" customWidth="1"/>
    <col min="8" max="8" width="7.421875" style="1" bestFit="1" customWidth="1"/>
    <col min="9" max="10" width="6.57421875" style="1" bestFit="1" customWidth="1"/>
    <col min="11" max="14" width="3.28125" style="1" bestFit="1" customWidth="1"/>
    <col min="15" max="15" width="7.8515625" style="1" bestFit="1" customWidth="1"/>
    <col min="16" max="16" width="3.28125" style="1" bestFit="1" customWidth="1"/>
    <col min="17" max="16384" width="9.140625" style="1" customWidth="1"/>
  </cols>
  <sheetData>
    <row r="1" spans="1:16" ht="30" customHeight="1">
      <c r="A1" s="1133" t="s">
        <v>478</v>
      </c>
      <c r="B1" s="1134"/>
      <c r="C1" s="1134"/>
      <c r="D1" s="1134"/>
      <c r="E1" s="1134"/>
      <c r="F1" s="1134"/>
      <c r="G1" s="1134"/>
      <c r="H1" s="1134"/>
      <c r="I1" s="1134"/>
      <c r="J1" s="1134"/>
      <c r="K1" s="1134"/>
      <c r="L1" s="1134"/>
      <c r="M1" s="1134"/>
      <c r="N1" s="1134"/>
      <c r="O1" s="1134"/>
      <c r="P1" s="1135"/>
    </row>
    <row r="2" spans="1:16" ht="39.75">
      <c r="A2" s="94"/>
      <c r="B2" s="95"/>
      <c r="C2" s="863" t="s">
        <v>5</v>
      </c>
      <c r="D2" s="863" t="s">
        <v>6</v>
      </c>
      <c r="E2" s="863" t="s">
        <v>7</v>
      </c>
      <c r="F2" s="863" t="s">
        <v>8</v>
      </c>
      <c r="G2" s="863" t="s">
        <v>9</v>
      </c>
      <c r="H2" s="863" t="s">
        <v>10</v>
      </c>
      <c r="I2" s="863" t="s">
        <v>11</v>
      </c>
      <c r="J2" s="863" t="s">
        <v>12</v>
      </c>
      <c r="K2" s="850" t="s">
        <v>13</v>
      </c>
      <c r="L2" s="850" t="s">
        <v>14</v>
      </c>
      <c r="M2" s="850" t="s">
        <v>15</v>
      </c>
      <c r="N2" s="850" t="s">
        <v>16</v>
      </c>
      <c r="O2" s="96">
        <v>2017</v>
      </c>
      <c r="P2" s="97"/>
    </row>
    <row r="3" spans="1:16" ht="12.75">
      <c r="A3" s="1136" t="s">
        <v>481</v>
      </c>
      <c r="B3" s="98" t="s">
        <v>479</v>
      </c>
      <c r="C3" s="99">
        <v>477788.51589209994</v>
      </c>
      <c r="D3" s="99">
        <v>292067.159395</v>
      </c>
      <c r="E3" s="99">
        <v>297922</v>
      </c>
      <c r="F3" s="99">
        <v>363384.925147</v>
      </c>
      <c r="G3" s="99">
        <v>199863.052655</v>
      </c>
      <c r="H3" s="99">
        <v>399077.4420993</v>
      </c>
      <c r="I3" s="99">
        <v>151754</v>
      </c>
      <c r="J3" s="99">
        <v>96941.75032099998</v>
      </c>
      <c r="K3" s="99"/>
      <c r="L3" s="99"/>
      <c r="M3" s="99"/>
      <c r="N3" s="99"/>
      <c r="O3" s="92">
        <f>SUM(C3:N3)</f>
        <v>2278798.8455093997</v>
      </c>
      <c r="P3" s="1137">
        <f>O3+O4+O5+O6+O7+O8+O9+O10</f>
        <v>5085448.851954579</v>
      </c>
    </row>
    <row r="4" spans="1:16" ht="12.75">
      <c r="A4" s="1136"/>
      <c r="B4" s="98" t="s">
        <v>482</v>
      </c>
      <c r="C4" s="99">
        <v>19300.715685699997</v>
      </c>
      <c r="D4" s="99">
        <v>47302.384743</v>
      </c>
      <c r="E4" s="99">
        <v>66771</v>
      </c>
      <c r="F4" s="99">
        <v>58358.52608219999</v>
      </c>
      <c r="G4" s="99">
        <v>51523.0282524</v>
      </c>
      <c r="H4" s="99">
        <v>25641.474223499998</v>
      </c>
      <c r="I4" s="99">
        <v>7627</v>
      </c>
      <c r="J4" s="99">
        <v>3056.5606528899993</v>
      </c>
      <c r="K4" s="99"/>
      <c r="L4" s="99"/>
      <c r="M4" s="99"/>
      <c r="N4" s="99"/>
      <c r="O4" s="92">
        <f>SUM(C4:N4)</f>
        <v>279580.68963969</v>
      </c>
      <c r="P4" s="1137"/>
    </row>
    <row r="5" spans="1:16" ht="12.75">
      <c r="A5" s="1136"/>
      <c r="B5" s="100" t="s">
        <v>483</v>
      </c>
      <c r="C5" s="101">
        <v>1668.7162697000003</v>
      </c>
      <c r="D5" s="101">
        <v>12151.891883600005</v>
      </c>
      <c r="E5" s="101">
        <v>26699</v>
      </c>
      <c r="F5" s="101">
        <v>18593.5804713</v>
      </c>
      <c r="G5" s="101">
        <v>15369.5286988</v>
      </c>
      <c r="H5" s="101">
        <v>5801.740581699999</v>
      </c>
      <c r="I5" s="101">
        <v>368</v>
      </c>
      <c r="J5" s="101">
        <v>8.943870000000002</v>
      </c>
      <c r="K5" s="101"/>
      <c r="L5" s="101"/>
      <c r="M5" s="101"/>
      <c r="N5" s="101"/>
      <c r="O5" s="102">
        <f>SUM(C5:N5)</f>
        <v>80661.4017751</v>
      </c>
      <c r="P5" s="1137"/>
    </row>
    <row r="6" spans="1:16" ht="12.75">
      <c r="A6" s="1136"/>
      <c r="B6" s="98" t="s">
        <v>484</v>
      </c>
      <c r="C6" s="99">
        <v>21378.493531969994</v>
      </c>
      <c r="D6" s="99">
        <v>28016.750402439997</v>
      </c>
      <c r="E6" s="99">
        <v>43116</v>
      </c>
      <c r="F6" s="99">
        <v>38596.66346784999</v>
      </c>
      <c r="G6" s="99">
        <v>25990.54503556</v>
      </c>
      <c r="H6" s="99">
        <v>18026.413696009997</v>
      </c>
      <c r="I6" s="99">
        <v>12908</v>
      </c>
      <c r="J6" s="99">
        <v>11366.646784279998</v>
      </c>
      <c r="K6" s="99"/>
      <c r="L6" s="99"/>
      <c r="M6" s="99"/>
      <c r="N6" s="99"/>
      <c r="O6" s="92">
        <v>199399</v>
      </c>
      <c r="P6" s="1137"/>
    </row>
    <row r="7" spans="1:16" ht="12.75">
      <c r="A7" s="1136"/>
      <c r="B7" s="103" t="s">
        <v>485</v>
      </c>
      <c r="C7" s="99">
        <v>24792.372602999996</v>
      </c>
      <c r="D7" s="99">
        <v>20138.187496300005</v>
      </c>
      <c r="E7" s="99">
        <v>18974</v>
      </c>
      <c r="F7" s="99">
        <v>21155.981607899997</v>
      </c>
      <c r="G7" s="99">
        <v>12010.574658300002</v>
      </c>
      <c r="H7" s="99">
        <v>19583.8516556</v>
      </c>
      <c r="I7" s="99">
        <v>7406</v>
      </c>
      <c r="J7" s="99">
        <v>3571.8220361699996</v>
      </c>
      <c r="K7" s="99"/>
      <c r="L7" s="99"/>
      <c r="M7" s="99"/>
      <c r="N7" s="99"/>
      <c r="O7" s="92">
        <f>SUM(C7:N7)</f>
        <v>127632.79005726999</v>
      </c>
      <c r="P7" s="1137"/>
    </row>
    <row r="8" spans="1:16" ht="12.75">
      <c r="A8" s="1136"/>
      <c r="B8" s="103" t="s">
        <v>486</v>
      </c>
      <c r="C8" s="99">
        <v>20358.5354231</v>
      </c>
      <c r="D8" s="99">
        <v>6332.044375100002</v>
      </c>
      <c r="E8" s="99">
        <v>16690</v>
      </c>
      <c r="F8" s="99">
        <v>8096.313852500001</v>
      </c>
      <c r="G8" s="99">
        <v>9297.350074400001</v>
      </c>
      <c r="H8" s="99">
        <v>9451.5659753</v>
      </c>
      <c r="I8" s="99">
        <v>11931</v>
      </c>
      <c r="J8" s="99">
        <v>4158.912783000001</v>
      </c>
      <c r="K8" s="99"/>
      <c r="L8" s="99"/>
      <c r="M8" s="99"/>
      <c r="N8" s="99"/>
      <c r="O8" s="92">
        <f>SUM(C8:N8)</f>
        <v>86315.72248340002</v>
      </c>
      <c r="P8" s="1137"/>
    </row>
    <row r="9" spans="1:16" ht="12.75">
      <c r="A9" s="1136"/>
      <c r="B9" s="103" t="s">
        <v>487</v>
      </c>
      <c r="C9" s="99">
        <v>5980.208644000003</v>
      </c>
      <c r="D9" s="99">
        <v>13495.7040345</v>
      </c>
      <c r="E9" s="99">
        <v>13238</v>
      </c>
      <c r="F9" s="99">
        <v>8528.677826399999</v>
      </c>
      <c r="G9" s="99">
        <v>5688.176795300002</v>
      </c>
      <c r="H9" s="99">
        <v>2791.447539899999</v>
      </c>
      <c r="I9" s="99">
        <v>1571</v>
      </c>
      <c r="J9" s="99">
        <v>800.1136496200002</v>
      </c>
      <c r="K9" s="99"/>
      <c r="L9" s="99"/>
      <c r="M9" s="99"/>
      <c r="N9" s="99"/>
      <c r="O9" s="92">
        <f>SUM(C9:N9)</f>
        <v>52093.32848972</v>
      </c>
      <c r="P9" s="1137"/>
    </row>
    <row r="10" spans="1:16" ht="12.75">
      <c r="A10" s="1136"/>
      <c r="B10" s="104" t="s">
        <v>490</v>
      </c>
      <c r="C10" s="99">
        <v>266571.404</v>
      </c>
      <c r="D10" s="99">
        <v>212046.23199999996</v>
      </c>
      <c r="E10" s="99">
        <v>142529</v>
      </c>
      <c r="F10" s="99">
        <v>92369.05600000001</v>
      </c>
      <c r="G10" s="99">
        <v>219890.13999999996</v>
      </c>
      <c r="H10" s="99">
        <v>146509.161</v>
      </c>
      <c r="I10" s="99">
        <v>403826</v>
      </c>
      <c r="J10" s="99">
        <v>497226.081</v>
      </c>
      <c r="K10" s="99"/>
      <c r="L10" s="99"/>
      <c r="M10" s="99"/>
      <c r="N10" s="99"/>
      <c r="O10" s="92">
        <f>SUM(C10:N10)</f>
        <v>1980967.074</v>
      </c>
      <c r="P10" s="1137"/>
    </row>
    <row r="11" spans="1:16" ht="12.75">
      <c r="A11" s="105"/>
      <c r="B11" s="104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2"/>
      <c r="P11" s="106"/>
    </row>
    <row r="12" spans="1:16" ht="12.75" customHeight="1">
      <c r="A12" s="1141" t="s">
        <v>480</v>
      </c>
      <c r="B12" s="107" t="s">
        <v>109</v>
      </c>
      <c r="C12" s="99">
        <v>16207.186814069986</v>
      </c>
      <c r="D12" s="99">
        <v>12302.138083433867</v>
      </c>
      <c r="E12" s="99">
        <v>13897</v>
      </c>
      <c r="F12" s="99">
        <v>13614.828859463096</v>
      </c>
      <c r="G12" s="99">
        <v>12001.269966409982</v>
      </c>
      <c r="H12" s="99">
        <v>13364.39198908329</v>
      </c>
      <c r="I12" s="99">
        <v>12532</v>
      </c>
      <c r="J12" s="99">
        <v>13886.292636624932</v>
      </c>
      <c r="K12" s="99"/>
      <c r="L12" s="99"/>
      <c r="M12" s="99"/>
      <c r="N12" s="99"/>
      <c r="O12" s="92">
        <f>SUM(C12:N12)</f>
        <v>107805.10834908515</v>
      </c>
      <c r="P12" s="1138">
        <f>O12+O13+O14+O15</f>
        <v>5085448.027313805</v>
      </c>
    </row>
    <row r="13" spans="1:16" ht="12.75">
      <c r="A13" s="1142"/>
      <c r="B13" s="108" t="s">
        <v>118</v>
      </c>
      <c r="C13" s="109">
        <v>692438</v>
      </c>
      <c r="D13" s="109">
        <v>522475</v>
      </c>
      <c r="E13" s="109">
        <v>495308</v>
      </c>
      <c r="F13" s="109">
        <v>449278</v>
      </c>
      <c r="G13" s="109">
        <v>435907</v>
      </c>
      <c r="H13" s="109">
        <v>462269</v>
      </c>
      <c r="I13" s="109">
        <v>518714</v>
      </c>
      <c r="J13" s="109">
        <v>534765</v>
      </c>
      <c r="K13" s="99"/>
      <c r="L13" s="99"/>
      <c r="M13" s="99"/>
      <c r="N13" s="99"/>
      <c r="O13" s="92">
        <f>SUM(C13:N13)</f>
        <v>4111154</v>
      </c>
      <c r="P13" s="1139"/>
    </row>
    <row r="14" spans="1:16" ht="12.75">
      <c r="A14" s="1142"/>
      <c r="B14" s="108" t="s">
        <v>488</v>
      </c>
      <c r="C14" s="110">
        <v>42918.15893040001</v>
      </c>
      <c r="D14" s="110">
        <v>45498.431950909995</v>
      </c>
      <c r="E14" s="110">
        <v>63832.0710846</v>
      </c>
      <c r="F14" s="110">
        <v>71397.2804162</v>
      </c>
      <c r="G14" s="110">
        <v>73129.95346165002</v>
      </c>
      <c r="H14" s="110">
        <v>74230.25884492</v>
      </c>
      <c r="I14" s="110">
        <v>65114.37852183999</v>
      </c>
      <c r="J14" s="110">
        <v>67249.6867542</v>
      </c>
      <c r="K14" s="99"/>
      <c r="L14" s="99"/>
      <c r="M14" s="99"/>
      <c r="N14" s="99"/>
      <c r="O14" s="92">
        <f>SUM(C14:N14)</f>
        <v>503370.21996471996</v>
      </c>
      <c r="P14" s="1139"/>
    </row>
    <row r="15" spans="1:16" ht="12.75">
      <c r="A15" s="1142"/>
      <c r="B15" s="107" t="s">
        <v>489</v>
      </c>
      <c r="C15" s="111">
        <v>86275.55799999999</v>
      </c>
      <c r="D15" s="111">
        <v>51274.48199999998</v>
      </c>
      <c r="E15" s="111">
        <v>52903</v>
      </c>
      <c r="F15" s="111">
        <v>74793.648</v>
      </c>
      <c r="G15" s="111">
        <v>18593.673</v>
      </c>
      <c r="H15" s="111">
        <v>77018.95099999999</v>
      </c>
      <c r="I15" s="111">
        <v>1030</v>
      </c>
      <c r="J15" s="111">
        <v>1229.387</v>
      </c>
      <c r="K15" s="99"/>
      <c r="L15" s="99"/>
      <c r="M15" s="99"/>
      <c r="N15" s="99"/>
      <c r="O15" s="92">
        <f>SUM(C15:N15)</f>
        <v>363118.69899999996</v>
      </c>
      <c r="P15" s="1140"/>
    </row>
    <row r="16" spans="1:16" ht="12.75">
      <c r="A16" s="1142"/>
      <c r="B16" s="104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2"/>
      <c r="P16" s="106"/>
    </row>
    <row r="17" spans="1:16" ht="12.75">
      <c r="A17" s="105"/>
      <c r="B17" s="112" t="s">
        <v>108</v>
      </c>
      <c r="C17" s="113">
        <v>837838.9620495699</v>
      </c>
      <c r="D17" s="113">
        <v>631550.3543299399</v>
      </c>
      <c r="E17" s="113">
        <v>625940</v>
      </c>
      <c r="F17" s="113">
        <v>609083.72445515</v>
      </c>
      <c r="G17" s="113">
        <v>539632.39616976</v>
      </c>
      <c r="H17" s="113">
        <v>626883.0967713101</v>
      </c>
      <c r="I17" s="113">
        <v>597390</v>
      </c>
      <c r="J17" s="113">
        <v>617130.83109696</v>
      </c>
      <c r="K17" s="113"/>
      <c r="L17" s="113"/>
      <c r="M17" s="113"/>
      <c r="N17" s="113"/>
      <c r="O17" s="114">
        <f>SUM(C17:N17)</f>
        <v>5085449.36487269</v>
      </c>
      <c r="P17" s="97"/>
    </row>
    <row r="18" spans="1:16" ht="12.75">
      <c r="A18" s="105"/>
      <c r="B18" s="107" t="s">
        <v>109</v>
      </c>
      <c r="C18" s="99">
        <v>16207.186814069986</v>
      </c>
      <c r="D18" s="99">
        <v>12302.138083433867</v>
      </c>
      <c r="E18" s="99">
        <v>13897</v>
      </c>
      <c r="F18" s="99">
        <v>13614.828859463096</v>
      </c>
      <c r="G18" s="99">
        <v>12001.269966409982</v>
      </c>
      <c r="H18" s="99">
        <v>13364.39198908329</v>
      </c>
      <c r="I18" s="99">
        <v>12532</v>
      </c>
      <c r="J18" s="99">
        <v>13886.292636624932</v>
      </c>
      <c r="K18" s="99"/>
      <c r="L18" s="99"/>
      <c r="M18" s="99"/>
      <c r="N18" s="99"/>
      <c r="O18" s="92">
        <f>SUM(C18:N18)</f>
        <v>107805.10834908515</v>
      </c>
      <c r="P18" s="97"/>
    </row>
    <row r="19" spans="1:16" ht="12.75">
      <c r="A19" s="105"/>
      <c r="B19" s="104" t="s">
        <v>491</v>
      </c>
      <c r="C19" s="99">
        <v>821631.7752355</v>
      </c>
      <c r="D19" s="99">
        <v>619248.2162465061</v>
      </c>
      <c r="E19" s="99">
        <v>612043</v>
      </c>
      <c r="F19" s="99">
        <v>595468.8955956869</v>
      </c>
      <c r="G19" s="99">
        <v>527631.12620335</v>
      </c>
      <c r="H19" s="99">
        <v>613518.7047822268</v>
      </c>
      <c r="I19" s="99">
        <v>584858</v>
      </c>
      <c r="J19" s="99">
        <v>603244.538460335</v>
      </c>
      <c r="K19" s="99"/>
      <c r="L19" s="99"/>
      <c r="M19" s="99"/>
      <c r="N19" s="99"/>
      <c r="O19" s="92">
        <f>SUM(C19:N19)</f>
        <v>4977644.2565236045</v>
      </c>
      <c r="P19" s="97"/>
    </row>
    <row r="20" spans="1:16" ht="12.75">
      <c r="A20" s="105"/>
      <c r="B20" s="107" t="s">
        <v>489</v>
      </c>
      <c r="C20" s="111">
        <v>86275.55799999999</v>
      </c>
      <c r="D20" s="111">
        <v>51274.48199999998</v>
      </c>
      <c r="E20" s="111">
        <v>52903</v>
      </c>
      <c r="F20" s="111">
        <v>74793.648</v>
      </c>
      <c r="G20" s="111">
        <v>18593.673</v>
      </c>
      <c r="H20" s="111">
        <v>77018.95099999999</v>
      </c>
      <c r="I20" s="111">
        <v>1030</v>
      </c>
      <c r="J20" s="111">
        <v>1229.387</v>
      </c>
      <c r="K20" s="99"/>
      <c r="L20" s="99"/>
      <c r="M20" s="99"/>
      <c r="N20" s="99"/>
      <c r="O20" s="92">
        <f>SUM(C20:N20)</f>
        <v>363118.69899999996</v>
      </c>
      <c r="P20" s="97"/>
    </row>
    <row r="21" spans="1:16" ht="12.75">
      <c r="A21" s="105"/>
      <c r="B21" s="112" t="s">
        <v>492</v>
      </c>
      <c r="C21" s="113">
        <v>735356.2172355</v>
      </c>
      <c r="D21" s="113">
        <v>567973.7342465061</v>
      </c>
      <c r="E21" s="113">
        <v>559140</v>
      </c>
      <c r="F21" s="113">
        <v>520675.247595687</v>
      </c>
      <c r="G21" s="113">
        <v>509037.45320335</v>
      </c>
      <c r="H21" s="113">
        <v>536499.7537822268</v>
      </c>
      <c r="I21" s="113">
        <v>583828</v>
      </c>
      <c r="J21" s="113">
        <v>602015.151460335</v>
      </c>
      <c r="K21" s="113"/>
      <c r="L21" s="113"/>
      <c r="M21" s="113"/>
      <c r="N21" s="113"/>
      <c r="O21" s="114">
        <f>SUM(C21:N21)</f>
        <v>4614525.5575236045</v>
      </c>
      <c r="P21" s="97"/>
    </row>
    <row r="22" spans="1:16" ht="12.75">
      <c r="A22" s="10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97"/>
    </row>
    <row r="23" spans="1:16" ht="12.75">
      <c r="A23" s="105"/>
      <c r="B23" s="104" t="s">
        <v>109</v>
      </c>
      <c r="C23" s="99">
        <v>16207.186814069986</v>
      </c>
      <c r="D23" s="99">
        <v>12302.138083433867</v>
      </c>
      <c r="E23" s="99">
        <v>13897</v>
      </c>
      <c r="F23" s="99">
        <v>13614.828859463096</v>
      </c>
      <c r="G23" s="99">
        <v>12001.269966409982</v>
      </c>
      <c r="H23" s="99">
        <v>13364.39198908329</v>
      </c>
      <c r="I23" s="99">
        <v>12532</v>
      </c>
      <c r="J23" s="99">
        <v>13886.292636624932</v>
      </c>
      <c r="K23" s="99"/>
      <c r="L23" s="99"/>
      <c r="M23" s="99"/>
      <c r="N23" s="99"/>
      <c r="O23" s="92">
        <f>SUM(C23:N23)</f>
        <v>107805.10834908515</v>
      </c>
      <c r="P23" s="97"/>
    </row>
    <row r="24" spans="1:16" ht="12.75">
      <c r="A24" s="105"/>
      <c r="B24" s="104" t="s">
        <v>110</v>
      </c>
      <c r="C24" s="116">
        <v>0.01934403572546093</v>
      </c>
      <c r="D24" s="116">
        <v>0.019479267170210274</v>
      </c>
      <c r="E24" s="116">
        <v>0.0222</v>
      </c>
      <c r="F24" s="116">
        <v>0.022352967765871777</v>
      </c>
      <c r="G24" s="116">
        <v>0.022239713648760567</v>
      </c>
      <c r="H24" s="116">
        <v>0.021318794617234165</v>
      </c>
      <c r="I24" s="116">
        <v>0.021</v>
      </c>
      <c r="J24" s="116">
        <v>0.022501375619075496</v>
      </c>
      <c r="K24" s="116"/>
      <c r="L24" s="116"/>
      <c r="M24" s="116"/>
      <c r="N24" s="116"/>
      <c r="O24" s="116"/>
      <c r="P24" s="97"/>
    </row>
    <row r="25" spans="1:16" ht="13.5" thickBot="1">
      <c r="A25" s="117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9"/>
    </row>
    <row r="27" spans="10:15" ht="12.75">
      <c r="J27" s="1132" t="s">
        <v>441</v>
      </c>
      <c r="K27" s="1132"/>
      <c r="L27" s="1132"/>
      <c r="M27" s="1132"/>
      <c r="N27" s="1132"/>
      <c r="O27" s="1132"/>
    </row>
  </sheetData>
  <sheetProtection/>
  <mergeCells count="6">
    <mergeCell ref="J27:O27"/>
    <mergeCell ref="A1:P1"/>
    <mergeCell ref="A3:A10"/>
    <mergeCell ref="P3:P10"/>
    <mergeCell ref="P12:P15"/>
    <mergeCell ref="A12:A16"/>
  </mergeCells>
  <printOptions/>
  <pageMargins left="0.25" right="0.25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178"/>
  <sheetViews>
    <sheetView view="pageBreakPreview" zoomScaleSheetLayoutView="100" zoomScalePageLayoutView="0" workbookViewId="0" topLeftCell="B1">
      <selection activeCell="D119" sqref="D119"/>
    </sheetView>
  </sheetViews>
  <sheetFormatPr defaultColWidth="9.140625" defaultRowHeight="15"/>
  <cols>
    <col min="1" max="1" width="3.7109375" style="120" bestFit="1" customWidth="1"/>
    <col min="2" max="2" width="12.57421875" style="120" bestFit="1" customWidth="1"/>
    <col min="3" max="3" width="13.57421875" style="120" bestFit="1" customWidth="1"/>
    <col min="4" max="4" width="33.00390625" style="120" bestFit="1" customWidth="1"/>
    <col min="5" max="5" width="7.140625" style="120" bestFit="1" customWidth="1"/>
    <col min="6" max="6" width="8.57421875" style="120" bestFit="1" customWidth="1"/>
    <col min="7" max="9" width="7.00390625" style="120" bestFit="1" customWidth="1"/>
    <col min="10" max="10" width="10.140625" style="120" bestFit="1" customWidth="1"/>
    <col min="11" max="11" width="8.140625" style="120" bestFit="1" customWidth="1"/>
    <col min="12" max="12" width="7.421875" style="120" bestFit="1" customWidth="1"/>
    <col min="13" max="13" width="9.8515625" style="120" bestFit="1" customWidth="1"/>
    <col min="14" max="14" width="7.140625" style="120" bestFit="1" customWidth="1"/>
    <col min="15" max="15" width="8.57421875" style="120" bestFit="1" customWidth="1"/>
    <col min="16" max="16" width="9.57421875" style="120" bestFit="1" customWidth="1"/>
    <col min="17" max="17" width="11.57421875" style="120" bestFit="1" customWidth="1"/>
    <col min="18" max="220" width="9.140625" style="120" customWidth="1"/>
    <col min="221" max="221" width="16.28125" style="120" customWidth="1"/>
    <col min="222" max="222" width="11.7109375" style="120" customWidth="1"/>
    <col min="223" max="223" width="25.57421875" style="120" customWidth="1"/>
    <col min="224" max="231" width="9.140625" style="120" customWidth="1"/>
    <col min="232" max="232" width="10.00390625" style="120" bestFit="1" customWidth="1"/>
    <col min="233" max="233" width="10.00390625" style="120" customWidth="1"/>
    <col min="234" max="234" width="10.00390625" style="120" bestFit="1" customWidth="1"/>
    <col min="235" max="235" width="9.140625" style="120" customWidth="1"/>
    <col min="236" max="236" width="11.421875" style="120" customWidth="1"/>
    <col min="237" max="239" width="9.140625" style="120" customWidth="1"/>
    <col min="240" max="240" width="15.421875" style="120" customWidth="1"/>
    <col min="241" max="16384" width="9.140625" style="120" customWidth="1"/>
  </cols>
  <sheetData>
    <row r="1" spans="1:17" ht="30" customHeight="1" thickBot="1">
      <c r="A1" s="1395" t="s">
        <v>846</v>
      </c>
      <c r="B1" s="1395"/>
      <c r="C1" s="1395"/>
      <c r="D1" s="1395"/>
      <c r="E1" s="1395"/>
      <c r="F1" s="1395"/>
      <c r="G1" s="1395"/>
      <c r="H1" s="1395"/>
      <c r="I1" s="1395"/>
      <c r="J1" s="1395"/>
      <c r="K1" s="1395"/>
      <c r="L1" s="1395"/>
      <c r="M1" s="1395"/>
      <c r="N1" s="1395"/>
      <c r="O1" s="1395"/>
      <c r="P1" s="1395"/>
      <c r="Q1" s="1396"/>
    </row>
    <row r="2" spans="1:17" s="123" customFormat="1" ht="33" customHeight="1" thickBot="1">
      <c r="A2" s="121" t="s">
        <v>409</v>
      </c>
      <c r="B2" s="1100" t="s">
        <v>845</v>
      </c>
      <c r="C2" s="1397" t="s">
        <v>847</v>
      </c>
      <c r="D2" s="1398"/>
      <c r="E2" s="121" t="s">
        <v>496</v>
      </c>
      <c r="F2" s="121" t="s">
        <v>497</v>
      </c>
      <c r="G2" s="121" t="s">
        <v>498</v>
      </c>
      <c r="H2" s="121" t="s">
        <v>499</v>
      </c>
      <c r="I2" s="121" t="s">
        <v>93</v>
      </c>
      <c r="J2" s="121" t="s">
        <v>500</v>
      </c>
      <c r="K2" s="121" t="s">
        <v>501</v>
      </c>
      <c r="L2" s="121" t="s">
        <v>502</v>
      </c>
      <c r="M2" s="121" t="s">
        <v>567</v>
      </c>
      <c r="N2" s="121" t="s">
        <v>733</v>
      </c>
      <c r="O2" s="121" t="s">
        <v>734</v>
      </c>
      <c r="P2" s="121" t="s">
        <v>735</v>
      </c>
      <c r="Q2" s="122" t="s">
        <v>410</v>
      </c>
    </row>
    <row r="3" spans="1:17" s="129" customFormat="1" ht="9.75" customHeight="1">
      <c r="A3" s="1385">
        <v>1</v>
      </c>
      <c r="B3" s="1388" t="s">
        <v>411</v>
      </c>
      <c r="C3" s="1391" t="s">
        <v>848</v>
      </c>
      <c r="D3" s="124" t="s">
        <v>412</v>
      </c>
      <c r="E3" s="125">
        <v>-5761</v>
      </c>
      <c r="F3" s="126">
        <v>-3812</v>
      </c>
      <c r="G3" s="126">
        <v>-367</v>
      </c>
      <c r="H3" s="126">
        <v>-407</v>
      </c>
      <c r="I3" s="126">
        <v>-1408</v>
      </c>
      <c r="J3" s="126">
        <v>-1752</v>
      </c>
      <c r="K3" s="126">
        <v>-3816</v>
      </c>
      <c r="L3" s="126">
        <v>-7596</v>
      </c>
      <c r="M3" s="126"/>
      <c r="N3" s="126"/>
      <c r="O3" s="126"/>
      <c r="P3" s="127"/>
      <c r="Q3" s="128">
        <f>SUM(E3:P3)</f>
        <v>-24919</v>
      </c>
    </row>
    <row r="4" spans="1:17" s="129" customFormat="1" ht="9.75" customHeight="1">
      <c r="A4" s="1385"/>
      <c r="B4" s="1388"/>
      <c r="C4" s="1391"/>
      <c r="D4" s="130" t="s">
        <v>413</v>
      </c>
      <c r="E4" s="125">
        <v>0</v>
      </c>
      <c r="F4" s="126">
        <v>0</v>
      </c>
      <c r="G4" s="126">
        <v>-1648</v>
      </c>
      <c r="H4" s="126">
        <v>-2791</v>
      </c>
      <c r="I4" s="126">
        <v>-4154</v>
      </c>
      <c r="J4" s="126">
        <v>-1590</v>
      </c>
      <c r="K4" s="126">
        <v>-3123</v>
      </c>
      <c r="L4" s="126">
        <v>-4522</v>
      </c>
      <c r="M4" s="126"/>
      <c r="N4" s="126"/>
      <c r="O4" s="126"/>
      <c r="P4" s="127"/>
      <c r="Q4" s="131">
        <f>SUM(E4:P4)</f>
        <v>-17828</v>
      </c>
    </row>
    <row r="5" spans="1:17" s="129" customFormat="1" ht="9.75" customHeight="1">
      <c r="A5" s="1385"/>
      <c r="B5" s="1388"/>
      <c r="C5" s="1391"/>
      <c r="D5" s="130" t="s">
        <v>414</v>
      </c>
      <c r="E5" s="125">
        <v>-620</v>
      </c>
      <c r="F5" s="132">
        <v>-1651</v>
      </c>
      <c r="G5" s="132">
        <v>-2159</v>
      </c>
      <c r="H5" s="132">
        <v>-1700</v>
      </c>
      <c r="I5" s="132">
        <v>-4544</v>
      </c>
      <c r="J5" s="132">
        <v>-3307</v>
      </c>
      <c r="K5" s="133">
        <v>-2321</v>
      </c>
      <c r="L5" s="126">
        <v>-6636</v>
      </c>
      <c r="M5" s="126"/>
      <c r="N5" s="126"/>
      <c r="O5" s="126"/>
      <c r="P5" s="127"/>
      <c r="Q5" s="131">
        <f>SUM(E5:P5)</f>
        <v>-22938</v>
      </c>
    </row>
    <row r="6" spans="1:17" s="129" customFormat="1" ht="9.75" customHeight="1">
      <c r="A6" s="1385"/>
      <c r="B6" s="1388"/>
      <c r="C6" s="1391"/>
      <c r="D6" s="134" t="s">
        <v>415</v>
      </c>
      <c r="E6" s="135">
        <f>SUM(E3:E5)</f>
        <v>-6381</v>
      </c>
      <c r="F6" s="136">
        <f aca="true" t="shared" si="0" ref="F6:P6">SUM(F3:F5)</f>
        <v>-5463</v>
      </c>
      <c r="G6" s="137">
        <f t="shared" si="0"/>
        <v>-4174</v>
      </c>
      <c r="H6" s="137">
        <f t="shared" si="0"/>
        <v>-4898</v>
      </c>
      <c r="I6" s="137">
        <f t="shared" si="0"/>
        <v>-10106</v>
      </c>
      <c r="J6" s="137">
        <f t="shared" si="0"/>
        <v>-6649</v>
      </c>
      <c r="K6" s="137">
        <f t="shared" si="0"/>
        <v>-9260</v>
      </c>
      <c r="L6" s="137">
        <f t="shared" si="0"/>
        <v>-18754</v>
      </c>
      <c r="M6" s="137">
        <f t="shared" si="0"/>
        <v>0</v>
      </c>
      <c r="N6" s="137">
        <f t="shared" si="0"/>
        <v>0</v>
      </c>
      <c r="O6" s="136">
        <f t="shared" si="0"/>
        <v>0</v>
      </c>
      <c r="P6" s="138">
        <f t="shared" si="0"/>
        <v>0</v>
      </c>
      <c r="Q6" s="139">
        <f>SUM(Q3:Q5)</f>
        <v>-65685</v>
      </c>
    </row>
    <row r="7" spans="1:17" s="129" customFormat="1" ht="9.75" customHeight="1">
      <c r="A7" s="1385"/>
      <c r="B7" s="1388"/>
      <c r="C7" s="1391"/>
      <c r="D7" s="130" t="s">
        <v>416</v>
      </c>
      <c r="E7" s="125">
        <v>1658</v>
      </c>
      <c r="F7" s="126">
        <v>1049</v>
      </c>
      <c r="G7" s="126">
        <v>4281</v>
      </c>
      <c r="H7" s="126">
        <v>6491</v>
      </c>
      <c r="I7" s="126">
        <v>10789</v>
      </c>
      <c r="J7" s="126">
        <v>6908</v>
      </c>
      <c r="K7" s="133">
        <v>721</v>
      </c>
      <c r="L7" s="126">
        <v>779</v>
      </c>
      <c r="M7" s="126"/>
      <c r="N7" s="126"/>
      <c r="O7" s="126"/>
      <c r="P7" s="127"/>
      <c r="Q7" s="131">
        <f>SUM(E7:P7)</f>
        <v>32676</v>
      </c>
    </row>
    <row r="8" spans="1:17" s="129" customFormat="1" ht="9.75" customHeight="1">
      <c r="A8" s="1385"/>
      <c r="B8" s="1388"/>
      <c r="C8" s="1391"/>
      <c r="D8" s="130" t="s">
        <v>417</v>
      </c>
      <c r="E8" s="125">
        <v>18986</v>
      </c>
      <c r="F8" s="126">
        <v>7559</v>
      </c>
      <c r="G8" s="126">
        <v>8089</v>
      </c>
      <c r="H8" s="126">
        <v>3259</v>
      </c>
      <c r="I8" s="126">
        <v>3465</v>
      </c>
      <c r="J8" s="126">
        <v>7388</v>
      </c>
      <c r="K8" s="133">
        <v>6618</v>
      </c>
      <c r="L8" s="126">
        <v>1060</v>
      </c>
      <c r="M8" s="126"/>
      <c r="N8" s="126"/>
      <c r="O8" s="126"/>
      <c r="P8" s="127"/>
      <c r="Q8" s="131">
        <f>SUM(E8:P8)</f>
        <v>56424</v>
      </c>
    </row>
    <row r="9" spans="1:17" s="129" customFormat="1" ht="9.75" customHeight="1">
      <c r="A9" s="1385"/>
      <c r="B9" s="1388"/>
      <c r="C9" s="1391"/>
      <c r="D9" s="130" t="s">
        <v>418</v>
      </c>
      <c r="E9" s="125">
        <v>6104</v>
      </c>
      <c r="F9" s="126">
        <v>40</v>
      </c>
      <c r="G9" s="126">
        <v>1147</v>
      </c>
      <c r="H9" s="126">
        <v>2504</v>
      </c>
      <c r="I9" s="126">
        <v>5146</v>
      </c>
      <c r="J9" s="126">
        <v>737</v>
      </c>
      <c r="K9" s="133">
        <v>2694</v>
      </c>
      <c r="L9" s="126">
        <v>304</v>
      </c>
      <c r="M9" s="126"/>
      <c r="N9" s="126"/>
      <c r="O9" s="126"/>
      <c r="P9" s="127"/>
      <c r="Q9" s="131">
        <f>SUM(E9:P9)</f>
        <v>18676</v>
      </c>
    </row>
    <row r="10" spans="1:17" s="129" customFormat="1" ht="9.75" customHeight="1">
      <c r="A10" s="1385"/>
      <c r="B10" s="1388"/>
      <c r="C10" s="1391"/>
      <c r="D10" s="134" t="s">
        <v>419</v>
      </c>
      <c r="E10" s="140">
        <f>SUM(E7:E9)</f>
        <v>26748</v>
      </c>
      <c r="F10" s="137">
        <f aca="true" t="shared" si="1" ref="F10:P10">SUM(F7:F9)</f>
        <v>8648</v>
      </c>
      <c r="G10" s="137">
        <f t="shared" si="1"/>
        <v>13517</v>
      </c>
      <c r="H10" s="137">
        <f t="shared" si="1"/>
        <v>12254</v>
      </c>
      <c r="I10" s="137">
        <f t="shared" si="1"/>
        <v>19400</v>
      </c>
      <c r="J10" s="137">
        <f t="shared" si="1"/>
        <v>15033</v>
      </c>
      <c r="K10" s="137">
        <f t="shared" si="1"/>
        <v>10033</v>
      </c>
      <c r="L10" s="137">
        <f t="shared" si="1"/>
        <v>2143</v>
      </c>
      <c r="M10" s="137">
        <f t="shared" si="1"/>
        <v>0</v>
      </c>
      <c r="N10" s="137">
        <f t="shared" si="1"/>
        <v>0</v>
      </c>
      <c r="O10" s="136">
        <f t="shared" si="1"/>
        <v>0</v>
      </c>
      <c r="P10" s="138">
        <f t="shared" si="1"/>
        <v>0</v>
      </c>
      <c r="Q10" s="139">
        <f>SUM(Q7:Q9)</f>
        <v>107776</v>
      </c>
    </row>
    <row r="11" spans="1:17" s="129" customFormat="1" ht="9.75" customHeight="1">
      <c r="A11" s="1385"/>
      <c r="B11" s="1388"/>
      <c r="C11" s="1393" t="s">
        <v>895</v>
      </c>
      <c r="D11" s="130" t="s">
        <v>896</v>
      </c>
      <c r="E11" s="141">
        <v>20367</v>
      </c>
      <c r="F11" s="132">
        <v>6545</v>
      </c>
      <c r="G11" s="132">
        <v>16773</v>
      </c>
      <c r="H11" s="132">
        <v>8076</v>
      </c>
      <c r="I11" s="132">
        <v>9294</v>
      </c>
      <c r="J11" s="132">
        <v>9464</v>
      </c>
      <c r="K11" s="142">
        <v>11933</v>
      </c>
      <c r="L11" s="132">
        <v>4389</v>
      </c>
      <c r="M11" s="132"/>
      <c r="N11" s="132"/>
      <c r="O11" s="132"/>
      <c r="P11" s="143"/>
      <c r="Q11" s="131">
        <f>SUM(E11:P11)</f>
        <v>86841</v>
      </c>
    </row>
    <row r="12" spans="1:17" s="129" customFormat="1" ht="9.75" customHeight="1">
      <c r="A12" s="1385"/>
      <c r="B12" s="1388"/>
      <c r="C12" s="1391"/>
      <c r="D12" s="134" t="s">
        <v>897</v>
      </c>
      <c r="E12" s="140">
        <f>SUM(E11)</f>
        <v>20367</v>
      </c>
      <c r="F12" s="136">
        <f aca="true" t="shared" si="2" ref="F12:P12">SUM(F11)</f>
        <v>6545</v>
      </c>
      <c r="G12" s="136">
        <f t="shared" si="2"/>
        <v>16773</v>
      </c>
      <c r="H12" s="136">
        <f t="shared" si="2"/>
        <v>8076</v>
      </c>
      <c r="I12" s="136">
        <f t="shared" si="2"/>
        <v>9294</v>
      </c>
      <c r="J12" s="136">
        <f t="shared" si="2"/>
        <v>9464</v>
      </c>
      <c r="K12" s="137">
        <f t="shared" si="2"/>
        <v>11933</v>
      </c>
      <c r="L12" s="137">
        <f t="shared" si="2"/>
        <v>4389</v>
      </c>
      <c r="M12" s="137">
        <f t="shared" si="2"/>
        <v>0</v>
      </c>
      <c r="N12" s="137">
        <f t="shared" si="2"/>
        <v>0</v>
      </c>
      <c r="O12" s="136">
        <f t="shared" si="2"/>
        <v>0</v>
      </c>
      <c r="P12" s="138">
        <f t="shared" si="2"/>
        <v>0</v>
      </c>
      <c r="Q12" s="144">
        <f>SUM(Q11)</f>
        <v>86841</v>
      </c>
    </row>
    <row r="13" spans="1:17" s="129" customFormat="1" ht="9.75" customHeight="1">
      <c r="A13" s="1385"/>
      <c r="B13" s="1388"/>
      <c r="C13" s="1393" t="s">
        <v>850</v>
      </c>
      <c r="D13" s="130" t="s">
        <v>865</v>
      </c>
      <c r="E13" s="145" t="s">
        <v>325</v>
      </c>
      <c r="F13" s="132">
        <v>3360</v>
      </c>
      <c r="G13" s="132">
        <v>7430</v>
      </c>
      <c r="H13" s="146" t="s">
        <v>325</v>
      </c>
      <c r="I13" s="146" t="s">
        <v>325</v>
      </c>
      <c r="J13" s="132">
        <v>1080</v>
      </c>
      <c r="K13" s="142">
        <v>11160</v>
      </c>
      <c r="L13" s="132">
        <v>21000</v>
      </c>
      <c r="M13" s="132"/>
      <c r="N13" s="132"/>
      <c r="O13" s="132"/>
      <c r="P13" s="143"/>
      <c r="Q13" s="131">
        <f>SUM(E13:P13)</f>
        <v>44030</v>
      </c>
    </row>
    <row r="14" spans="1:17" s="129" customFormat="1" ht="9.75" customHeight="1">
      <c r="A14" s="1385"/>
      <c r="B14" s="1388"/>
      <c r="C14" s="1391"/>
      <c r="D14" s="130" t="s">
        <v>866</v>
      </c>
      <c r="E14" s="145" t="s">
        <v>325</v>
      </c>
      <c r="F14" s="146" t="s">
        <v>325</v>
      </c>
      <c r="G14" s="146" t="s">
        <v>325</v>
      </c>
      <c r="H14" s="132">
        <v>720</v>
      </c>
      <c r="I14" s="146" t="s">
        <v>325</v>
      </c>
      <c r="J14" s="146" t="s">
        <v>325</v>
      </c>
      <c r="K14" s="146" t="s">
        <v>325</v>
      </c>
      <c r="L14" s="146" t="s">
        <v>325</v>
      </c>
      <c r="M14" s="132"/>
      <c r="N14" s="132"/>
      <c r="O14" s="132"/>
      <c r="P14" s="143"/>
      <c r="Q14" s="131">
        <f>SUM(E14:P14)</f>
        <v>720</v>
      </c>
    </row>
    <row r="15" spans="1:17" s="129" customFormat="1" ht="9.75" customHeight="1" thickBot="1">
      <c r="A15" s="1386"/>
      <c r="B15" s="1389"/>
      <c r="C15" s="1394"/>
      <c r="D15" s="147" t="s">
        <v>420</v>
      </c>
      <c r="E15" s="148">
        <f>SUM(E13:E14)</f>
        <v>0</v>
      </c>
      <c r="F15" s="149">
        <f>SUM(F13:F14)</f>
        <v>3360</v>
      </c>
      <c r="G15" s="149">
        <f aca="true" t="shared" si="3" ref="G15:O15">SUM(G13:G14)</f>
        <v>7430</v>
      </c>
      <c r="H15" s="149">
        <f t="shared" si="3"/>
        <v>720</v>
      </c>
      <c r="I15" s="149">
        <f t="shared" si="3"/>
        <v>0</v>
      </c>
      <c r="J15" s="149">
        <f t="shared" si="3"/>
        <v>1080</v>
      </c>
      <c r="K15" s="149">
        <f t="shared" si="3"/>
        <v>11160</v>
      </c>
      <c r="L15" s="149">
        <f t="shared" si="3"/>
        <v>21000</v>
      </c>
      <c r="M15" s="149">
        <f t="shared" si="3"/>
        <v>0</v>
      </c>
      <c r="N15" s="149">
        <f t="shared" si="3"/>
        <v>0</v>
      </c>
      <c r="O15" s="149">
        <f t="shared" si="3"/>
        <v>0</v>
      </c>
      <c r="P15" s="150">
        <f>SUM(P13:P14)</f>
        <v>0</v>
      </c>
      <c r="Q15" s="151">
        <f>SUM(Q13:Q14)</f>
        <v>44750</v>
      </c>
    </row>
    <row r="16" spans="1:17" s="160" customFormat="1" ht="9.75" customHeight="1" thickBot="1">
      <c r="A16" s="152"/>
      <c r="B16" s="153"/>
      <c r="C16" s="154"/>
      <c r="D16" s="155"/>
      <c r="E16" s="156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8"/>
      <c r="Q16" s="159"/>
    </row>
    <row r="17" spans="1:17" s="129" customFormat="1" ht="9.75" customHeight="1">
      <c r="A17" s="1384">
        <v>2</v>
      </c>
      <c r="B17" s="1387" t="s">
        <v>186</v>
      </c>
      <c r="C17" s="1390" t="s">
        <v>849</v>
      </c>
      <c r="D17" s="124" t="s">
        <v>412</v>
      </c>
      <c r="E17" s="161">
        <v>0</v>
      </c>
      <c r="F17" s="162">
        <v>0</v>
      </c>
      <c r="G17" s="162">
        <v>0</v>
      </c>
      <c r="H17" s="162">
        <v>0</v>
      </c>
      <c r="I17" s="162">
        <v>0</v>
      </c>
      <c r="J17" s="162">
        <v>-2827</v>
      </c>
      <c r="K17" s="162">
        <v>-8014</v>
      </c>
      <c r="L17" s="162">
        <v>-4893</v>
      </c>
      <c r="M17" s="162"/>
      <c r="N17" s="162"/>
      <c r="O17" s="162"/>
      <c r="P17" s="163"/>
      <c r="Q17" s="164">
        <f>SUM(E17:P17)</f>
        <v>-15734</v>
      </c>
    </row>
    <row r="18" spans="1:17" s="129" customFormat="1" ht="9.75" customHeight="1">
      <c r="A18" s="1385"/>
      <c r="B18" s="1388"/>
      <c r="C18" s="1391"/>
      <c r="D18" s="130" t="s">
        <v>413</v>
      </c>
      <c r="E18" s="125">
        <v>-6620</v>
      </c>
      <c r="F18" s="126">
        <v>0</v>
      </c>
      <c r="G18" s="126">
        <v>-733</v>
      </c>
      <c r="H18" s="126">
        <v>-660</v>
      </c>
      <c r="I18" s="126">
        <v>-4575</v>
      </c>
      <c r="J18" s="126">
        <v>-1379</v>
      </c>
      <c r="K18" s="126">
        <v>-3063</v>
      </c>
      <c r="L18" s="126">
        <v>-3479</v>
      </c>
      <c r="M18" s="126"/>
      <c r="N18" s="126"/>
      <c r="O18" s="126"/>
      <c r="P18" s="127"/>
      <c r="Q18" s="131">
        <f>SUM(E18:P18)</f>
        <v>-20509</v>
      </c>
    </row>
    <row r="19" spans="1:17" s="129" customFormat="1" ht="9.75" customHeight="1">
      <c r="A19" s="1385"/>
      <c r="B19" s="1388"/>
      <c r="C19" s="1391"/>
      <c r="D19" s="130" t="s">
        <v>414</v>
      </c>
      <c r="E19" s="125">
        <v>-26556</v>
      </c>
      <c r="F19" s="126">
        <v>-212</v>
      </c>
      <c r="G19" s="126">
        <v>0</v>
      </c>
      <c r="H19" s="126">
        <v>-70</v>
      </c>
      <c r="I19" s="126">
        <v>-1937</v>
      </c>
      <c r="J19" s="126">
        <v>-4461</v>
      </c>
      <c r="K19" s="126">
        <v>-1187</v>
      </c>
      <c r="L19" s="126">
        <v>-5657</v>
      </c>
      <c r="M19" s="126"/>
      <c r="N19" s="126"/>
      <c r="O19" s="126"/>
      <c r="P19" s="127"/>
      <c r="Q19" s="131">
        <f>SUM(E19:P19)</f>
        <v>-40080</v>
      </c>
    </row>
    <row r="20" spans="1:17" s="129" customFormat="1" ht="9.75" customHeight="1">
      <c r="A20" s="1385"/>
      <c r="B20" s="1388"/>
      <c r="C20" s="1391"/>
      <c r="D20" s="134" t="s">
        <v>415</v>
      </c>
      <c r="E20" s="135">
        <f>SUM(E17:E19)</f>
        <v>-33176</v>
      </c>
      <c r="F20" s="137">
        <f aca="true" t="shared" si="4" ref="F20:O20">SUM(F17:F19)</f>
        <v>-212</v>
      </c>
      <c r="G20" s="137">
        <f t="shared" si="4"/>
        <v>-733</v>
      </c>
      <c r="H20" s="137">
        <f t="shared" si="4"/>
        <v>-730</v>
      </c>
      <c r="I20" s="137">
        <f t="shared" si="4"/>
        <v>-6512</v>
      </c>
      <c r="J20" s="137">
        <f t="shared" si="4"/>
        <v>-8667</v>
      </c>
      <c r="K20" s="137">
        <f t="shared" si="4"/>
        <v>-12264</v>
      </c>
      <c r="L20" s="137">
        <f t="shared" si="4"/>
        <v>-14029</v>
      </c>
      <c r="M20" s="137">
        <f t="shared" si="4"/>
        <v>0</v>
      </c>
      <c r="N20" s="137">
        <f t="shared" si="4"/>
        <v>0</v>
      </c>
      <c r="O20" s="137">
        <f t="shared" si="4"/>
        <v>0</v>
      </c>
      <c r="P20" s="165">
        <f>SUM(P17:P19)</f>
        <v>0</v>
      </c>
      <c r="Q20" s="139">
        <f>SUM(Q17:Q19)</f>
        <v>-76323</v>
      </c>
    </row>
    <row r="21" spans="1:17" s="129" customFormat="1" ht="9.75" customHeight="1">
      <c r="A21" s="1385"/>
      <c r="B21" s="1388"/>
      <c r="C21" s="1391"/>
      <c r="D21" s="130" t="s">
        <v>416</v>
      </c>
      <c r="E21" s="125">
        <v>0</v>
      </c>
      <c r="F21" s="126">
        <v>0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1</v>
      </c>
      <c r="M21" s="126"/>
      <c r="N21" s="126"/>
      <c r="O21" s="126"/>
      <c r="P21" s="127"/>
      <c r="Q21" s="131">
        <f>SUM(E21:P21)</f>
        <v>1</v>
      </c>
    </row>
    <row r="22" spans="1:17" s="129" customFormat="1" ht="9.75" customHeight="1">
      <c r="A22" s="1385"/>
      <c r="B22" s="1388"/>
      <c r="C22" s="1391"/>
      <c r="D22" s="130" t="s">
        <v>417</v>
      </c>
      <c r="E22" s="125">
        <v>937</v>
      </c>
      <c r="F22" s="126">
        <v>8020</v>
      </c>
      <c r="G22" s="126">
        <v>4536</v>
      </c>
      <c r="H22" s="126">
        <v>3639</v>
      </c>
      <c r="I22" s="126">
        <v>218</v>
      </c>
      <c r="J22" s="126">
        <v>1686</v>
      </c>
      <c r="K22" s="126">
        <v>485</v>
      </c>
      <c r="L22" s="126">
        <v>116</v>
      </c>
      <c r="M22" s="126"/>
      <c r="N22" s="126"/>
      <c r="O22" s="126"/>
      <c r="P22" s="127"/>
      <c r="Q22" s="131">
        <f>SUM(E22:P22)</f>
        <v>19637</v>
      </c>
    </row>
    <row r="23" spans="1:17" s="129" customFormat="1" ht="9.75" customHeight="1">
      <c r="A23" s="1385"/>
      <c r="B23" s="1388"/>
      <c r="C23" s="1391"/>
      <c r="D23" s="130" t="s">
        <v>418</v>
      </c>
      <c r="E23" s="125">
        <v>50</v>
      </c>
      <c r="F23" s="126">
        <v>1481</v>
      </c>
      <c r="G23" s="126">
        <v>5247</v>
      </c>
      <c r="H23" s="126">
        <v>1595</v>
      </c>
      <c r="I23" s="126">
        <v>0</v>
      </c>
      <c r="J23" s="126">
        <v>3214</v>
      </c>
      <c r="K23" s="126">
        <v>8014</v>
      </c>
      <c r="L23" s="126">
        <v>4732</v>
      </c>
      <c r="M23" s="126"/>
      <c r="N23" s="126"/>
      <c r="O23" s="126"/>
      <c r="P23" s="127"/>
      <c r="Q23" s="131">
        <f>SUM(E23:P23)</f>
        <v>24333</v>
      </c>
    </row>
    <row r="24" spans="1:17" s="129" customFormat="1" ht="9.75" customHeight="1">
      <c r="A24" s="1385"/>
      <c r="B24" s="1388"/>
      <c r="C24" s="1391"/>
      <c r="D24" s="134" t="s">
        <v>419</v>
      </c>
      <c r="E24" s="135">
        <f>SUM(E21:E23)</f>
        <v>987</v>
      </c>
      <c r="F24" s="137">
        <f aca="true" t="shared" si="5" ref="F24:O24">SUM(F21:F23)</f>
        <v>9501</v>
      </c>
      <c r="G24" s="137">
        <f t="shared" si="5"/>
        <v>9783</v>
      </c>
      <c r="H24" s="137">
        <f t="shared" si="5"/>
        <v>5234</v>
      </c>
      <c r="I24" s="137">
        <f t="shared" si="5"/>
        <v>218</v>
      </c>
      <c r="J24" s="137">
        <f t="shared" si="5"/>
        <v>4900</v>
      </c>
      <c r="K24" s="137">
        <f t="shared" si="5"/>
        <v>8499</v>
      </c>
      <c r="L24" s="137">
        <f t="shared" si="5"/>
        <v>4849</v>
      </c>
      <c r="M24" s="137">
        <f t="shared" si="5"/>
        <v>0</v>
      </c>
      <c r="N24" s="137">
        <f t="shared" si="5"/>
        <v>0</v>
      </c>
      <c r="O24" s="137">
        <f t="shared" si="5"/>
        <v>0</v>
      </c>
      <c r="P24" s="165">
        <f>SUM(P21:P23)</f>
        <v>0</v>
      </c>
      <c r="Q24" s="139">
        <f>SUM(Q21:Q23)</f>
        <v>43971</v>
      </c>
    </row>
    <row r="25" spans="1:17" s="129" customFormat="1" ht="9.75" customHeight="1">
      <c r="A25" s="1385"/>
      <c r="B25" s="1388"/>
      <c r="C25" s="1393" t="s">
        <v>895</v>
      </c>
      <c r="D25" s="130" t="s">
        <v>898</v>
      </c>
      <c r="E25" s="141">
        <v>8522</v>
      </c>
      <c r="F25" s="132">
        <v>13090</v>
      </c>
      <c r="G25" s="132">
        <v>13077</v>
      </c>
      <c r="H25" s="132">
        <v>8232</v>
      </c>
      <c r="I25" s="132">
        <v>6348</v>
      </c>
      <c r="J25" s="132">
        <v>2708</v>
      </c>
      <c r="K25" s="132">
        <v>1516</v>
      </c>
      <c r="L25" s="132">
        <v>1640</v>
      </c>
      <c r="M25" s="132"/>
      <c r="N25" s="132"/>
      <c r="O25" s="132"/>
      <c r="P25" s="143"/>
      <c r="Q25" s="131">
        <f>SUM(E25:P25)</f>
        <v>55133</v>
      </c>
    </row>
    <row r="26" spans="1:17" s="129" customFormat="1" ht="9.75" customHeight="1">
      <c r="A26" s="1385"/>
      <c r="B26" s="1388"/>
      <c r="C26" s="1391"/>
      <c r="D26" s="134" t="s">
        <v>897</v>
      </c>
      <c r="E26" s="140">
        <f>SUM(E25)</f>
        <v>8522</v>
      </c>
      <c r="F26" s="136">
        <f aca="true" t="shared" si="6" ref="F26:O26">SUM(F25)</f>
        <v>13090</v>
      </c>
      <c r="G26" s="136">
        <f t="shared" si="6"/>
        <v>13077</v>
      </c>
      <c r="H26" s="136">
        <f t="shared" si="6"/>
        <v>8232</v>
      </c>
      <c r="I26" s="136">
        <f t="shared" si="6"/>
        <v>6348</v>
      </c>
      <c r="J26" s="136">
        <f t="shared" si="6"/>
        <v>2708</v>
      </c>
      <c r="K26" s="136">
        <f t="shared" si="6"/>
        <v>1516</v>
      </c>
      <c r="L26" s="136">
        <f t="shared" si="6"/>
        <v>1640</v>
      </c>
      <c r="M26" s="136">
        <f t="shared" si="6"/>
        <v>0</v>
      </c>
      <c r="N26" s="136">
        <f t="shared" si="6"/>
        <v>0</v>
      </c>
      <c r="O26" s="136">
        <f t="shared" si="6"/>
        <v>0</v>
      </c>
      <c r="P26" s="166">
        <f>SUM(P25)</f>
        <v>0</v>
      </c>
      <c r="Q26" s="144">
        <f>SUM(Q25)</f>
        <v>55133</v>
      </c>
    </row>
    <row r="27" spans="1:17" s="129" customFormat="1" ht="9.75" customHeight="1">
      <c r="A27" s="1385"/>
      <c r="B27" s="1388"/>
      <c r="C27" s="1393" t="s">
        <v>850</v>
      </c>
      <c r="D27" s="130" t="s">
        <v>882</v>
      </c>
      <c r="E27" s="125">
        <v>-616</v>
      </c>
      <c r="F27" s="146" t="s">
        <v>325</v>
      </c>
      <c r="G27" s="126">
        <v>-3145</v>
      </c>
      <c r="H27" s="146" t="s">
        <v>325</v>
      </c>
      <c r="I27" s="146" t="s">
        <v>325</v>
      </c>
      <c r="J27" s="146" t="s">
        <v>325</v>
      </c>
      <c r="K27" s="146" t="s">
        <v>325</v>
      </c>
      <c r="L27" s="146" t="s">
        <v>325</v>
      </c>
      <c r="M27" s="126"/>
      <c r="N27" s="126"/>
      <c r="O27" s="126"/>
      <c r="P27" s="127"/>
      <c r="Q27" s="131">
        <f aca="true" t="shared" si="7" ref="Q27:Q37">SUM(E27:P27)</f>
        <v>-3761</v>
      </c>
    </row>
    <row r="28" spans="1:17" s="129" customFormat="1" ht="9.75" customHeight="1">
      <c r="A28" s="1385"/>
      <c r="B28" s="1388"/>
      <c r="C28" s="1391"/>
      <c r="D28" s="130" t="s">
        <v>867</v>
      </c>
      <c r="E28" s="125">
        <v>37200</v>
      </c>
      <c r="F28" s="146" t="s">
        <v>325</v>
      </c>
      <c r="G28" s="146" t="s">
        <v>325</v>
      </c>
      <c r="H28" s="146" t="s">
        <v>325</v>
      </c>
      <c r="I28" s="146" t="s">
        <v>325</v>
      </c>
      <c r="J28" s="146" t="s">
        <v>325</v>
      </c>
      <c r="K28" s="146" t="s">
        <v>325</v>
      </c>
      <c r="L28" s="146" t="s">
        <v>325</v>
      </c>
      <c r="M28" s="126"/>
      <c r="N28" s="126"/>
      <c r="O28" s="126"/>
      <c r="P28" s="127"/>
      <c r="Q28" s="131">
        <f t="shared" si="7"/>
        <v>37200</v>
      </c>
    </row>
    <row r="29" spans="1:17" s="129" customFormat="1" ht="9.75" customHeight="1">
      <c r="A29" s="1385"/>
      <c r="B29" s="1388"/>
      <c r="C29" s="1391"/>
      <c r="D29" s="130" t="s">
        <v>868</v>
      </c>
      <c r="E29" s="125">
        <v>4127</v>
      </c>
      <c r="F29" s="126">
        <v>3579</v>
      </c>
      <c r="G29" s="126">
        <v>3385</v>
      </c>
      <c r="H29" s="126">
        <v>200</v>
      </c>
      <c r="I29" s="126">
        <v>78</v>
      </c>
      <c r="J29" s="126">
        <v>24</v>
      </c>
      <c r="K29" s="126">
        <v>46</v>
      </c>
      <c r="L29" s="146" t="s">
        <v>325</v>
      </c>
      <c r="M29" s="126"/>
      <c r="N29" s="126"/>
      <c r="O29" s="126"/>
      <c r="P29" s="127"/>
      <c r="Q29" s="131">
        <f t="shared" si="7"/>
        <v>11439</v>
      </c>
    </row>
    <row r="30" spans="1:17" s="129" customFormat="1" ht="9.75" customHeight="1">
      <c r="A30" s="1385"/>
      <c r="B30" s="1388"/>
      <c r="C30" s="1391"/>
      <c r="D30" s="130" t="s">
        <v>869</v>
      </c>
      <c r="E30" s="145" t="s">
        <v>325</v>
      </c>
      <c r="F30" s="126">
        <v>222</v>
      </c>
      <c r="G30" s="126">
        <v>72</v>
      </c>
      <c r="H30" s="146" t="s">
        <v>325</v>
      </c>
      <c r="I30" s="146" t="s">
        <v>325</v>
      </c>
      <c r="J30" s="146" t="s">
        <v>325</v>
      </c>
      <c r="K30" s="126">
        <v>144</v>
      </c>
      <c r="L30" s="126">
        <v>14</v>
      </c>
      <c r="M30" s="126"/>
      <c r="N30" s="126"/>
      <c r="O30" s="126"/>
      <c r="P30" s="127"/>
      <c r="Q30" s="131">
        <f t="shared" si="7"/>
        <v>452</v>
      </c>
    </row>
    <row r="31" spans="1:17" s="129" customFormat="1" ht="9.75" customHeight="1">
      <c r="A31" s="1385"/>
      <c r="B31" s="1388"/>
      <c r="C31" s="1391"/>
      <c r="D31" s="130" t="s">
        <v>883</v>
      </c>
      <c r="E31" s="145" t="s">
        <v>325</v>
      </c>
      <c r="F31" s="146" t="s">
        <v>325</v>
      </c>
      <c r="G31" s="146" t="s">
        <v>325</v>
      </c>
      <c r="H31" s="146" t="s">
        <v>325</v>
      </c>
      <c r="I31" s="146" t="s">
        <v>325</v>
      </c>
      <c r="J31" s="126">
        <v>-1260</v>
      </c>
      <c r="K31" s="146" t="s">
        <v>325</v>
      </c>
      <c r="L31" s="146" t="s">
        <v>325</v>
      </c>
      <c r="M31" s="126"/>
      <c r="N31" s="126"/>
      <c r="O31" s="126"/>
      <c r="P31" s="127"/>
      <c r="Q31" s="131">
        <f t="shared" si="7"/>
        <v>-1260</v>
      </c>
    </row>
    <row r="32" spans="1:17" s="129" customFormat="1" ht="9.75" customHeight="1">
      <c r="A32" s="1385"/>
      <c r="B32" s="1388"/>
      <c r="C32" s="1391"/>
      <c r="D32" s="130" t="s">
        <v>870</v>
      </c>
      <c r="E32" s="145" t="s">
        <v>325</v>
      </c>
      <c r="F32" s="146" t="s">
        <v>325</v>
      </c>
      <c r="G32" s="126">
        <v>3715</v>
      </c>
      <c r="H32" s="146" t="s">
        <v>325</v>
      </c>
      <c r="I32" s="146" t="s">
        <v>325</v>
      </c>
      <c r="J32" s="126">
        <v>900</v>
      </c>
      <c r="K32" s="146" t="s">
        <v>325</v>
      </c>
      <c r="L32" s="146" t="s">
        <v>325</v>
      </c>
      <c r="M32" s="126"/>
      <c r="N32" s="126"/>
      <c r="O32" s="126"/>
      <c r="P32" s="127"/>
      <c r="Q32" s="131">
        <f t="shared" si="7"/>
        <v>4615</v>
      </c>
    </row>
    <row r="33" spans="1:17" s="129" customFormat="1" ht="9.75" customHeight="1">
      <c r="A33" s="1385"/>
      <c r="B33" s="1388"/>
      <c r="C33" s="1391"/>
      <c r="D33" s="130" t="s">
        <v>884</v>
      </c>
      <c r="E33" s="145" t="s">
        <v>325</v>
      </c>
      <c r="F33" s="146" t="s">
        <v>325</v>
      </c>
      <c r="G33" s="146" t="s">
        <v>325</v>
      </c>
      <c r="H33" s="146" t="s">
        <v>325</v>
      </c>
      <c r="I33" s="126">
        <v>-10</v>
      </c>
      <c r="J33" s="146" t="s">
        <v>325</v>
      </c>
      <c r="K33" s="126">
        <v>-144</v>
      </c>
      <c r="L33" s="126">
        <v>-13</v>
      </c>
      <c r="M33" s="126"/>
      <c r="N33" s="126"/>
      <c r="O33" s="126"/>
      <c r="P33" s="127"/>
      <c r="Q33" s="131">
        <f t="shared" si="7"/>
        <v>-167</v>
      </c>
    </row>
    <row r="34" spans="1:17" s="129" customFormat="1" ht="9.75" customHeight="1">
      <c r="A34" s="1385"/>
      <c r="B34" s="1388"/>
      <c r="C34" s="1391"/>
      <c r="D34" s="130" t="s">
        <v>871</v>
      </c>
      <c r="E34" s="145" t="s">
        <v>325</v>
      </c>
      <c r="F34" s="146" t="s">
        <v>325</v>
      </c>
      <c r="G34" s="146" t="s">
        <v>325</v>
      </c>
      <c r="H34" s="126">
        <v>3528</v>
      </c>
      <c r="I34" s="126">
        <v>12574</v>
      </c>
      <c r="J34" s="126">
        <v>5011</v>
      </c>
      <c r="K34" s="126">
        <v>5235</v>
      </c>
      <c r="L34" s="126">
        <v>5059</v>
      </c>
      <c r="M34" s="126"/>
      <c r="N34" s="126"/>
      <c r="O34" s="126"/>
      <c r="P34" s="127"/>
      <c r="Q34" s="131">
        <f t="shared" si="7"/>
        <v>31407</v>
      </c>
    </row>
    <row r="35" spans="1:17" s="129" customFormat="1" ht="9.75" customHeight="1">
      <c r="A35" s="1385"/>
      <c r="B35" s="1388"/>
      <c r="C35" s="1391"/>
      <c r="D35" s="130" t="s">
        <v>872</v>
      </c>
      <c r="E35" s="145" t="s">
        <v>325</v>
      </c>
      <c r="F35" s="146" t="s">
        <v>325</v>
      </c>
      <c r="G35" s="146" t="s">
        <v>325</v>
      </c>
      <c r="H35" s="146" t="s">
        <v>325</v>
      </c>
      <c r="I35" s="146" t="s">
        <v>325</v>
      </c>
      <c r="J35" s="146" t="s">
        <v>325</v>
      </c>
      <c r="K35" s="146" t="s">
        <v>325</v>
      </c>
      <c r="L35" s="126">
        <v>3280</v>
      </c>
      <c r="M35" s="126"/>
      <c r="N35" s="126"/>
      <c r="O35" s="126"/>
      <c r="P35" s="127"/>
      <c r="Q35" s="131">
        <f>SUM(E35:P35)</f>
        <v>3280</v>
      </c>
    </row>
    <row r="36" spans="1:17" s="129" customFormat="1" ht="9.75" customHeight="1">
      <c r="A36" s="1385"/>
      <c r="B36" s="1388"/>
      <c r="C36" s="1391"/>
      <c r="D36" s="130" t="s">
        <v>865</v>
      </c>
      <c r="E36" s="145" t="s">
        <v>325</v>
      </c>
      <c r="F36" s="146" t="s">
        <v>325</v>
      </c>
      <c r="G36" s="146" t="s">
        <v>325</v>
      </c>
      <c r="H36" s="146" t="s">
        <v>325</v>
      </c>
      <c r="I36" s="146" t="s">
        <v>325</v>
      </c>
      <c r="J36" s="146" t="s">
        <v>325</v>
      </c>
      <c r="K36" s="146" t="s">
        <v>325</v>
      </c>
      <c r="L36" s="126">
        <v>2480</v>
      </c>
      <c r="M36" s="126"/>
      <c r="N36" s="126"/>
      <c r="O36" s="126"/>
      <c r="P36" s="127"/>
      <c r="Q36" s="131">
        <f t="shared" si="7"/>
        <v>2480</v>
      </c>
    </row>
    <row r="37" spans="1:17" s="129" customFormat="1" ht="9.75" customHeight="1">
      <c r="A37" s="1385"/>
      <c r="B37" s="1388"/>
      <c r="C37" s="1391"/>
      <c r="D37" s="130" t="s">
        <v>866</v>
      </c>
      <c r="E37" s="145" t="s">
        <v>325</v>
      </c>
      <c r="F37" s="146" t="s">
        <v>325</v>
      </c>
      <c r="G37" s="146" t="s">
        <v>325</v>
      </c>
      <c r="H37" s="146" t="s">
        <v>325</v>
      </c>
      <c r="I37" s="146" t="s">
        <v>325</v>
      </c>
      <c r="J37" s="126">
        <v>1800</v>
      </c>
      <c r="K37" s="146" t="s">
        <v>325</v>
      </c>
      <c r="L37" s="167" t="s">
        <v>325</v>
      </c>
      <c r="M37" s="126"/>
      <c r="N37" s="126"/>
      <c r="O37" s="126"/>
      <c r="P37" s="127"/>
      <c r="Q37" s="131">
        <f t="shared" si="7"/>
        <v>1800</v>
      </c>
    </row>
    <row r="38" spans="1:17" s="129" customFormat="1" ht="9.75" customHeight="1" thickBot="1">
      <c r="A38" s="1386"/>
      <c r="B38" s="1389"/>
      <c r="C38" s="1394"/>
      <c r="D38" s="147" t="s">
        <v>420</v>
      </c>
      <c r="E38" s="148">
        <f>SUM(E27:E37)</f>
        <v>40711</v>
      </c>
      <c r="F38" s="149">
        <f>SUM(F27:F37)</f>
        <v>3801</v>
      </c>
      <c r="G38" s="168">
        <f aca="true" t="shared" si="8" ref="G38:P38">SUM(G27:G37)</f>
        <v>4027</v>
      </c>
      <c r="H38" s="168">
        <f t="shared" si="8"/>
        <v>3728</v>
      </c>
      <c r="I38" s="168">
        <f t="shared" si="8"/>
        <v>12642</v>
      </c>
      <c r="J38" s="169">
        <f t="shared" si="8"/>
        <v>6475</v>
      </c>
      <c r="K38" s="149">
        <f t="shared" si="8"/>
        <v>5281</v>
      </c>
      <c r="L38" s="149">
        <f t="shared" si="8"/>
        <v>10820</v>
      </c>
      <c r="M38" s="168">
        <f t="shared" si="8"/>
        <v>0</v>
      </c>
      <c r="N38" s="168">
        <f t="shared" si="8"/>
        <v>0</v>
      </c>
      <c r="O38" s="168">
        <f t="shared" si="8"/>
        <v>0</v>
      </c>
      <c r="P38" s="150">
        <f t="shared" si="8"/>
        <v>0</v>
      </c>
      <c r="Q38" s="151">
        <f>SUM(Q27:Q37)</f>
        <v>87485</v>
      </c>
    </row>
    <row r="39" spans="1:17" s="160" customFormat="1" ht="9.75" customHeight="1" thickBot="1">
      <c r="A39" s="152"/>
      <c r="B39" s="153"/>
      <c r="C39" s="154"/>
      <c r="D39" s="170"/>
      <c r="E39" s="156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8"/>
      <c r="Q39" s="159"/>
    </row>
    <row r="40" spans="1:17" s="129" customFormat="1" ht="9.75" customHeight="1">
      <c r="A40" s="1384">
        <v>3</v>
      </c>
      <c r="B40" s="1387" t="s">
        <v>421</v>
      </c>
      <c r="C40" s="1390" t="s">
        <v>849</v>
      </c>
      <c r="D40" s="171" t="s">
        <v>412</v>
      </c>
      <c r="E40" s="161">
        <v>-46848</v>
      </c>
      <c r="F40" s="162">
        <v>-34176</v>
      </c>
      <c r="G40" s="162">
        <v>-5568</v>
      </c>
      <c r="H40" s="162">
        <v>-20925</v>
      </c>
      <c r="I40" s="162">
        <v>-17253</v>
      </c>
      <c r="J40" s="162">
        <v>-29198</v>
      </c>
      <c r="K40" s="162">
        <v>-33196</v>
      </c>
      <c r="L40" s="162">
        <v>-67643</v>
      </c>
      <c r="M40" s="162"/>
      <c r="N40" s="162"/>
      <c r="O40" s="162"/>
      <c r="P40" s="163"/>
      <c r="Q40" s="164">
        <f>SUM(E40:P40)</f>
        <v>-254807</v>
      </c>
    </row>
    <row r="41" spans="1:17" s="129" customFormat="1" ht="9.75" customHeight="1">
      <c r="A41" s="1385"/>
      <c r="B41" s="1388"/>
      <c r="C41" s="1391"/>
      <c r="D41" s="130" t="s">
        <v>413</v>
      </c>
      <c r="E41" s="125">
        <v>-28995</v>
      </c>
      <c r="F41" s="126">
        <v>-45147</v>
      </c>
      <c r="G41" s="126">
        <v>-46789</v>
      </c>
      <c r="H41" s="126">
        <v>-29951</v>
      </c>
      <c r="I41" s="126">
        <v>-56305</v>
      </c>
      <c r="J41" s="126">
        <v>-46357</v>
      </c>
      <c r="K41" s="126">
        <v>-43236</v>
      </c>
      <c r="L41" s="126">
        <v>-13887</v>
      </c>
      <c r="M41" s="126"/>
      <c r="N41" s="126"/>
      <c r="O41" s="126"/>
      <c r="P41" s="127"/>
      <c r="Q41" s="131">
        <f>SUM(E41:P41)</f>
        <v>-310667</v>
      </c>
    </row>
    <row r="42" spans="1:17" s="129" customFormat="1" ht="9.75" customHeight="1">
      <c r="A42" s="1385"/>
      <c r="B42" s="1388"/>
      <c r="C42" s="1391"/>
      <c r="D42" s="130" t="s">
        <v>414</v>
      </c>
      <c r="E42" s="125">
        <v>-6465</v>
      </c>
      <c r="F42" s="126">
        <v>-36184</v>
      </c>
      <c r="G42" s="126">
        <v>-90493</v>
      </c>
      <c r="H42" s="126">
        <v>-72008</v>
      </c>
      <c r="I42" s="126">
        <v>-62966</v>
      </c>
      <c r="J42" s="126">
        <v>-44505</v>
      </c>
      <c r="K42" s="126">
        <v>-90364</v>
      </c>
      <c r="L42" s="126">
        <v>-18184</v>
      </c>
      <c r="M42" s="126"/>
      <c r="N42" s="126"/>
      <c r="O42" s="126"/>
      <c r="P42" s="127"/>
      <c r="Q42" s="131">
        <f>SUM(E42:P42)</f>
        <v>-421169</v>
      </c>
    </row>
    <row r="43" spans="1:17" s="129" customFormat="1" ht="9.75" customHeight="1">
      <c r="A43" s="1385"/>
      <c r="B43" s="1388"/>
      <c r="C43" s="1391"/>
      <c r="D43" s="134" t="s">
        <v>415</v>
      </c>
      <c r="E43" s="135">
        <f>SUM(E40:E42)</f>
        <v>-82308</v>
      </c>
      <c r="F43" s="137">
        <f>SUM(F40:F42)</f>
        <v>-115507</v>
      </c>
      <c r="G43" s="137">
        <f>SUM(G40:G42)</f>
        <v>-142850</v>
      </c>
      <c r="H43" s="137">
        <f>SUM(H40:H42)</f>
        <v>-122884</v>
      </c>
      <c r="I43" s="137">
        <f>SUM(I40:I42)</f>
        <v>-136524</v>
      </c>
      <c r="J43" s="137">
        <f>SUM(J40:J42)</f>
        <v>-120060</v>
      </c>
      <c r="K43" s="137">
        <f>SUM(K40:K42)</f>
        <v>-166796</v>
      </c>
      <c r="L43" s="137">
        <f>SUM(L40:L42)</f>
        <v>-99714</v>
      </c>
      <c r="M43" s="137">
        <f>SUM(M40:M42)</f>
        <v>0</v>
      </c>
      <c r="N43" s="137">
        <f>SUM(N40:N42)</f>
        <v>0</v>
      </c>
      <c r="O43" s="137">
        <f>SUM(O40:O42)</f>
        <v>0</v>
      </c>
      <c r="P43" s="165">
        <f>SUM(P40:P42)</f>
        <v>0</v>
      </c>
      <c r="Q43" s="139">
        <f>SUM(Q40:Q42)</f>
        <v>-986643</v>
      </c>
    </row>
    <row r="44" spans="1:17" s="129" customFormat="1" ht="9.75" customHeight="1">
      <c r="A44" s="1385"/>
      <c r="B44" s="1388"/>
      <c r="C44" s="1391"/>
      <c r="D44" s="130" t="s">
        <v>416</v>
      </c>
      <c r="E44" s="125">
        <v>15621</v>
      </c>
      <c r="F44" s="126">
        <v>43583</v>
      </c>
      <c r="G44" s="126">
        <v>103291</v>
      </c>
      <c r="H44" s="126">
        <v>72559</v>
      </c>
      <c r="I44" s="126">
        <v>67853</v>
      </c>
      <c r="J44" s="126">
        <v>68913</v>
      </c>
      <c r="K44" s="126">
        <v>23914</v>
      </c>
      <c r="L44" s="126">
        <v>2703</v>
      </c>
      <c r="M44" s="126"/>
      <c r="N44" s="126"/>
      <c r="O44" s="126"/>
      <c r="P44" s="127"/>
      <c r="Q44" s="131">
        <f>SUM(E44:P44)</f>
        <v>398437</v>
      </c>
    </row>
    <row r="45" spans="1:17" s="129" customFormat="1" ht="9.75" customHeight="1">
      <c r="A45" s="1385"/>
      <c r="B45" s="1388"/>
      <c r="C45" s="1391"/>
      <c r="D45" s="130" t="s">
        <v>417</v>
      </c>
      <c r="E45" s="125">
        <v>18048</v>
      </c>
      <c r="F45" s="126">
        <v>15861</v>
      </c>
      <c r="G45" s="126">
        <v>1472</v>
      </c>
      <c r="H45" s="126">
        <v>6349</v>
      </c>
      <c r="I45" s="126">
        <v>5423</v>
      </c>
      <c r="J45" s="126">
        <v>5702</v>
      </c>
      <c r="K45" s="126">
        <v>3163</v>
      </c>
      <c r="L45" s="126">
        <v>10385</v>
      </c>
      <c r="M45" s="126"/>
      <c r="N45" s="126"/>
      <c r="O45" s="126"/>
      <c r="P45" s="127"/>
      <c r="Q45" s="131">
        <f>SUM(E45:P45)</f>
        <v>66403</v>
      </c>
    </row>
    <row r="46" spans="1:17" s="129" customFormat="1" ht="9.75" customHeight="1">
      <c r="A46" s="1385"/>
      <c r="B46" s="1388"/>
      <c r="C46" s="1391"/>
      <c r="D46" s="130" t="s">
        <v>418</v>
      </c>
      <c r="E46" s="125">
        <v>7252</v>
      </c>
      <c r="F46" s="126">
        <v>8004</v>
      </c>
      <c r="G46" s="126">
        <v>5215</v>
      </c>
      <c r="H46" s="126">
        <v>13315</v>
      </c>
      <c r="I46" s="126">
        <v>3078</v>
      </c>
      <c r="J46" s="126">
        <v>20098</v>
      </c>
      <c r="K46" s="126">
        <v>1267</v>
      </c>
      <c r="L46" s="126">
        <v>23264</v>
      </c>
      <c r="M46" s="126"/>
      <c r="N46" s="126"/>
      <c r="O46" s="126"/>
      <c r="P46" s="127"/>
      <c r="Q46" s="131">
        <f>SUM(E46:P46)</f>
        <v>81493</v>
      </c>
    </row>
    <row r="47" spans="1:17" s="129" customFormat="1" ht="9.75" customHeight="1">
      <c r="A47" s="1385"/>
      <c r="B47" s="1388"/>
      <c r="C47" s="1391"/>
      <c r="D47" s="134" t="s">
        <v>419</v>
      </c>
      <c r="E47" s="135">
        <f>SUM(E44:E46)</f>
        <v>40921</v>
      </c>
      <c r="F47" s="137">
        <f>SUM(F44:F46)</f>
        <v>67448</v>
      </c>
      <c r="G47" s="137">
        <f>SUM(G44:G46)</f>
        <v>109978</v>
      </c>
      <c r="H47" s="137">
        <f>SUM(H44:H46)</f>
        <v>92223</v>
      </c>
      <c r="I47" s="137">
        <f>SUM(I44:I46)</f>
        <v>76354</v>
      </c>
      <c r="J47" s="137">
        <f>SUM(J44:J46)</f>
        <v>94713</v>
      </c>
      <c r="K47" s="137">
        <f>SUM(K44:K46)</f>
        <v>28344</v>
      </c>
      <c r="L47" s="137">
        <f>SUM(L44:L46)</f>
        <v>36352</v>
      </c>
      <c r="M47" s="137">
        <f>SUM(M44:M46)</f>
        <v>0</v>
      </c>
      <c r="N47" s="137">
        <f>SUM(N44:N46)</f>
        <v>0</v>
      </c>
      <c r="O47" s="137">
        <f>SUM(O44:O46)</f>
        <v>0</v>
      </c>
      <c r="P47" s="165">
        <f>SUM(P44:P46)</f>
        <v>0</v>
      </c>
      <c r="Q47" s="139">
        <f>SUM(Q44:Q46)</f>
        <v>546333</v>
      </c>
    </row>
    <row r="48" spans="1:17" s="129" customFormat="1" ht="9.75" customHeight="1">
      <c r="A48" s="1385"/>
      <c r="B48" s="1388"/>
      <c r="C48" s="1393" t="s">
        <v>850</v>
      </c>
      <c r="D48" s="130" t="s">
        <v>873</v>
      </c>
      <c r="E48" s="141">
        <v>3682</v>
      </c>
      <c r="F48" s="132">
        <v>3892</v>
      </c>
      <c r="G48" s="132">
        <v>16923</v>
      </c>
      <c r="H48" s="132">
        <v>16261</v>
      </c>
      <c r="I48" s="132">
        <v>15746</v>
      </c>
      <c r="J48" s="132">
        <v>14907</v>
      </c>
      <c r="K48" s="132">
        <v>15182</v>
      </c>
      <c r="L48" s="132">
        <v>11438</v>
      </c>
      <c r="M48" s="132"/>
      <c r="N48" s="132"/>
      <c r="O48" s="132"/>
      <c r="P48" s="143"/>
      <c r="Q48" s="131">
        <f>SUM(E48:P48)</f>
        <v>98031</v>
      </c>
    </row>
    <row r="49" spans="1:17" s="129" customFormat="1" ht="9.75" customHeight="1">
      <c r="A49" s="1385"/>
      <c r="B49" s="1388"/>
      <c r="C49" s="1391"/>
      <c r="D49" s="130" t="s">
        <v>865</v>
      </c>
      <c r="E49" s="125">
        <v>48360</v>
      </c>
      <c r="F49" s="126">
        <v>57120</v>
      </c>
      <c r="G49" s="126">
        <v>22290</v>
      </c>
      <c r="H49" s="146" t="s">
        <v>325</v>
      </c>
      <c r="I49" s="126">
        <v>44640</v>
      </c>
      <c r="J49" s="126">
        <v>10440</v>
      </c>
      <c r="K49" s="126">
        <v>116180</v>
      </c>
      <c r="L49" s="126">
        <v>43320</v>
      </c>
      <c r="M49" s="126"/>
      <c r="N49" s="126"/>
      <c r="O49" s="126"/>
      <c r="P49" s="127"/>
      <c r="Q49" s="131">
        <f aca="true" t="shared" si="9" ref="Q49:Q56">SUM(E49:P49)</f>
        <v>342350</v>
      </c>
    </row>
    <row r="50" spans="1:17" s="129" customFormat="1" ht="9.75" customHeight="1">
      <c r="A50" s="1385"/>
      <c r="B50" s="1388"/>
      <c r="C50" s="1391"/>
      <c r="D50" s="172" t="s">
        <v>866</v>
      </c>
      <c r="E50" s="173" t="s">
        <v>325</v>
      </c>
      <c r="F50" s="146" t="s">
        <v>325</v>
      </c>
      <c r="G50" s="146" t="s">
        <v>325</v>
      </c>
      <c r="H50" s="126">
        <v>14400</v>
      </c>
      <c r="I50" s="146" t="s">
        <v>325</v>
      </c>
      <c r="J50" s="146" t="s">
        <v>325</v>
      </c>
      <c r="K50" s="146" t="s">
        <v>325</v>
      </c>
      <c r="L50" s="146" t="s">
        <v>325</v>
      </c>
      <c r="M50" s="126"/>
      <c r="N50" s="126"/>
      <c r="O50" s="126"/>
      <c r="P50" s="127"/>
      <c r="Q50" s="131">
        <f t="shared" si="9"/>
        <v>14400</v>
      </c>
    </row>
    <row r="51" spans="1:17" s="129" customFormat="1" ht="9.75" customHeight="1">
      <c r="A51" s="1385"/>
      <c r="B51" s="1388"/>
      <c r="C51" s="1391"/>
      <c r="D51" s="172" t="s">
        <v>874</v>
      </c>
      <c r="E51" s="133">
        <v>3920</v>
      </c>
      <c r="F51" s="126"/>
      <c r="G51" s="146" t="s">
        <v>325</v>
      </c>
      <c r="H51" s="146" t="s">
        <v>325</v>
      </c>
      <c r="I51" s="146" t="s">
        <v>325</v>
      </c>
      <c r="J51" s="146" t="s">
        <v>325</v>
      </c>
      <c r="K51" s="146" t="s">
        <v>325</v>
      </c>
      <c r="L51" s="146" t="s">
        <v>325</v>
      </c>
      <c r="M51" s="126"/>
      <c r="N51" s="126"/>
      <c r="O51" s="126"/>
      <c r="P51" s="127"/>
      <c r="Q51" s="131">
        <f t="shared" si="9"/>
        <v>3920</v>
      </c>
    </row>
    <row r="52" spans="1:17" s="129" customFormat="1" ht="9.75" customHeight="1">
      <c r="A52" s="1385"/>
      <c r="B52" s="1388"/>
      <c r="C52" s="1391"/>
      <c r="D52" s="172" t="s">
        <v>885</v>
      </c>
      <c r="E52" s="133">
        <v>-17743</v>
      </c>
      <c r="F52" s="126">
        <v>-18085</v>
      </c>
      <c r="G52" s="146" t="s">
        <v>325</v>
      </c>
      <c r="H52" s="146" t="s">
        <v>325</v>
      </c>
      <c r="I52" s="146" t="s">
        <v>325</v>
      </c>
      <c r="J52" s="146" t="s">
        <v>325</v>
      </c>
      <c r="K52" s="146" t="s">
        <v>325</v>
      </c>
      <c r="L52" s="146" t="s">
        <v>325</v>
      </c>
      <c r="M52" s="126"/>
      <c r="N52" s="126"/>
      <c r="O52" s="126"/>
      <c r="P52" s="127"/>
      <c r="Q52" s="131">
        <f t="shared" si="9"/>
        <v>-35828</v>
      </c>
    </row>
    <row r="53" spans="1:17" s="129" customFormat="1" ht="9.75" customHeight="1">
      <c r="A53" s="1385"/>
      <c r="B53" s="1388"/>
      <c r="C53" s="1391"/>
      <c r="D53" s="172" t="s">
        <v>875</v>
      </c>
      <c r="E53" s="133">
        <v>3168</v>
      </c>
      <c r="F53" s="126">
        <v>5354</v>
      </c>
      <c r="G53" s="146" t="s">
        <v>325</v>
      </c>
      <c r="H53" s="146" t="s">
        <v>325</v>
      </c>
      <c r="I53" s="146" t="s">
        <v>325</v>
      </c>
      <c r="J53" s="146" t="s">
        <v>325</v>
      </c>
      <c r="K53" s="146" t="s">
        <v>325</v>
      </c>
      <c r="L53" s="146" t="s">
        <v>325</v>
      </c>
      <c r="M53" s="126"/>
      <c r="N53" s="126"/>
      <c r="O53" s="126"/>
      <c r="P53" s="127"/>
      <c r="Q53" s="131">
        <f t="shared" si="9"/>
        <v>8522</v>
      </c>
    </row>
    <row r="54" spans="1:17" s="129" customFormat="1" ht="9.75" customHeight="1">
      <c r="A54" s="1385"/>
      <c r="B54" s="1388"/>
      <c r="C54" s="1391"/>
      <c r="D54" s="172" t="s">
        <v>886</v>
      </c>
      <c r="E54" s="173" t="s">
        <v>325</v>
      </c>
      <c r="F54" s="126">
        <v>-222</v>
      </c>
      <c r="G54" s="126">
        <v>-72</v>
      </c>
      <c r="H54" s="146" t="s">
        <v>325</v>
      </c>
      <c r="I54" s="146" t="s">
        <v>325</v>
      </c>
      <c r="J54" s="146" t="s">
        <v>325</v>
      </c>
      <c r="K54" s="126">
        <v>-144</v>
      </c>
      <c r="L54" s="126">
        <v>-14</v>
      </c>
      <c r="M54" s="126"/>
      <c r="N54" s="126"/>
      <c r="O54" s="126"/>
      <c r="P54" s="127"/>
      <c r="Q54" s="131">
        <f t="shared" si="9"/>
        <v>-452</v>
      </c>
    </row>
    <row r="55" spans="1:17" s="129" customFormat="1" ht="9.75" customHeight="1">
      <c r="A55" s="1385"/>
      <c r="B55" s="1388"/>
      <c r="C55" s="1391"/>
      <c r="D55" s="172" t="s">
        <v>882</v>
      </c>
      <c r="E55" s="173" t="s">
        <v>325</v>
      </c>
      <c r="F55" s="146" t="s">
        <v>325</v>
      </c>
      <c r="G55" s="126">
        <v>-6269</v>
      </c>
      <c r="H55" s="146" t="s">
        <v>325</v>
      </c>
      <c r="I55" s="126">
        <v>-216</v>
      </c>
      <c r="J55" s="146" t="s">
        <v>325</v>
      </c>
      <c r="K55" s="126">
        <v>-4386</v>
      </c>
      <c r="L55" s="126">
        <v>-3337</v>
      </c>
      <c r="M55" s="126"/>
      <c r="N55" s="126"/>
      <c r="O55" s="126"/>
      <c r="P55" s="127"/>
      <c r="Q55" s="131">
        <f t="shared" si="9"/>
        <v>-14208</v>
      </c>
    </row>
    <row r="56" spans="1:17" s="129" customFormat="1" ht="9.75" customHeight="1">
      <c r="A56" s="1385"/>
      <c r="B56" s="1388"/>
      <c r="C56" s="1391"/>
      <c r="D56" s="174" t="s">
        <v>876</v>
      </c>
      <c r="E56" s="173" t="s">
        <v>325</v>
      </c>
      <c r="F56" s="146" t="s">
        <v>325</v>
      </c>
      <c r="G56" s="146" t="s">
        <v>325</v>
      </c>
      <c r="H56" s="146" t="s">
        <v>325</v>
      </c>
      <c r="I56" s="146" t="s">
        <v>325</v>
      </c>
      <c r="J56" s="146" t="s">
        <v>325</v>
      </c>
      <c r="K56" s="175">
        <v>11620</v>
      </c>
      <c r="L56" s="175">
        <v>11955</v>
      </c>
      <c r="M56" s="175"/>
      <c r="N56" s="175"/>
      <c r="O56" s="175"/>
      <c r="P56" s="176"/>
      <c r="Q56" s="131">
        <f t="shared" si="9"/>
        <v>23575</v>
      </c>
    </row>
    <row r="57" spans="1:17" s="129" customFormat="1" ht="9.75" customHeight="1" thickBot="1">
      <c r="A57" s="1386"/>
      <c r="B57" s="1389"/>
      <c r="C57" s="1394"/>
      <c r="D57" s="177" t="s">
        <v>420</v>
      </c>
      <c r="E57" s="148">
        <f>SUM(E48:E56)</f>
        <v>41387</v>
      </c>
      <c r="F57" s="149">
        <f>SUM(F48:F56)</f>
        <v>48059</v>
      </c>
      <c r="G57" s="149">
        <f aca="true" t="shared" si="10" ref="G57:P57">SUM(G48:G56)</f>
        <v>32872</v>
      </c>
      <c r="H57" s="149">
        <f t="shared" si="10"/>
        <v>30661</v>
      </c>
      <c r="I57" s="149">
        <f t="shared" si="10"/>
        <v>60170</v>
      </c>
      <c r="J57" s="149">
        <f t="shared" si="10"/>
        <v>25347</v>
      </c>
      <c r="K57" s="149">
        <f t="shared" si="10"/>
        <v>138452</v>
      </c>
      <c r="L57" s="149">
        <f>SUM(L48:L56)</f>
        <v>63362</v>
      </c>
      <c r="M57" s="149">
        <f t="shared" si="10"/>
        <v>0</v>
      </c>
      <c r="N57" s="149">
        <f t="shared" si="10"/>
        <v>0</v>
      </c>
      <c r="O57" s="149">
        <f t="shared" si="10"/>
        <v>0</v>
      </c>
      <c r="P57" s="149">
        <f t="shared" si="10"/>
        <v>0</v>
      </c>
      <c r="Q57" s="151">
        <f>SUM(Q48:Q56)</f>
        <v>440310</v>
      </c>
    </row>
    <row r="58" spans="1:17" s="160" customFormat="1" ht="9.75" customHeight="1" thickBot="1">
      <c r="A58" s="152"/>
      <c r="B58" s="153"/>
      <c r="C58" s="154"/>
      <c r="D58" s="178"/>
      <c r="E58" s="179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8"/>
      <c r="Q58" s="159"/>
    </row>
    <row r="59" spans="1:17" s="129" customFormat="1" ht="9.75" customHeight="1">
      <c r="A59" s="1384">
        <v>4</v>
      </c>
      <c r="B59" s="1387" t="s">
        <v>178</v>
      </c>
      <c r="C59" s="1390" t="s">
        <v>849</v>
      </c>
      <c r="D59" s="171" t="s">
        <v>412</v>
      </c>
      <c r="E59" s="180">
        <v>0</v>
      </c>
      <c r="F59" s="162">
        <v>0</v>
      </c>
      <c r="G59" s="162">
        <v>0</v>
      </c>
      <c r="H59" s="162">
        <v>0</v>
      </c>
      <c r="I59" s="162">
        <v>0</v>
      </c>
      <c r="J59" s="162">
        <v>0</v>
      </c>
      <c r="K59" s="162">
        <v>0</v>
      </c>
      <c r="L59" s="162">
        <v>-9920</v>
      </c>
      <c r="M59" s="162"/>
      <c r="N59" s="162"/>
      <c r="O59" s="162"/>
      <c r="P59" s="163"/>
      <c r="Q59" s="164">
        <f>SUM(E59:P59)</f>
        <v>-9920</v>
      </c>
    </row>
    <row r="60" spans="1:17" s="129" customFormat="1" ht="9.75" customHeight="1">
      <c r="A60" s="1385"/>
      <c r="B60" s="1388"/>
      <c r="C60" s="1391"/>
      <c r="D60" s="172" t="s">
        <v>413</v>
      </c>
      <c r="E60" s="133">
        <v>-53130</v>
      </c>
      <c r="F60" s="126">
        <v>-43755</v>
      </c>
      <c r="G60" s="126">
        <v>-37020</v>
      </c>
      <c r="H60" s="126">
        <v>-23301</v>
      </c>
      <c r="I60" s="126">
        <v>-41064</v>
      </c>
      <c r="J60" s="126">
        <v>-31902</v>
      </c>
      <c r="K60" s="126">
        <v>-66720</v>
      </c>
      <c r="L60" s="126">
        <v>-89280</v>
      </c>
      <c r="M60" s="126"/>
      <c r="N60" s="126"/>
      <c r="O60" s="126"/>
      <c r="P60" s="127"/>
      <c r="Q60" s="131">
        <f>SUM(E60:P60)</f>
        <v>-386172</v>
      </c>
    </row>
    <row r="61" spans="1:17" s="129" customFormat="1" ht="9.75" customHeight="1">
      <c r="A61" s="1385"/>
      <c r="B61" s="1388"/>
      <c r="C61" s="1391"/>
      <c r="D61" s="172" t="s">
        <v>414</v>
      </c>
      <c r="E61" s="133">
        <v>-18065</v>
      </c>
      <c r="F61" s="126">
        <v>-22495</v>
      </c>
      <c r="G61" s="126">
        <v>-5685</v>
      </c>
      <c r="H61" s="126">
        <v>-7270</v>
      </c>
      <c r="I61" s="126">
        <v>-25210</v>
      </c>
      <c r="J61" s="126">
        <v>-9105</v>
      </c>
      <c r="K61" s="126">
        <v>-39579</v>
      </c>
      <c r="L61" s="126">
        <v>-55590</v>
      </c>
      <c r="M61" s="126"/>
      <c r="N61" s="126"/>
      <c r="O61" s="126"/>
      <c r="P61" s="127"/>
      <c r="Q61" s="131">
        <f>SUM(E61:P61)</f>
        <v>-182999</v>
      </c>
    </row>
    <row r="62" spans="1:17" s="129" customFormat="1" ht="9.75" customHeight="1">
      <c r="A62" s="1385"/>
      <c r="B62" s="1388"/>
      <c r="C62" s="1391"/>
      <c r="D62" s="181" t="s">
        <v>415</v>
      </c>
      <c r="E62" s="138">
        <f>SUM(E59:E61)</f>
        <v>-71195</v>
      </c>
      <c r="F62" s="137">
        <f aca="true" t="shared" si="11" ref="F62:P62">SUM(F59:F61)</f>
        <v>-66250</v>
      </c>
      <c r="G62" s="137">
        <f t="shared" si="11"/>
        <v>-42705</v>
      </c>
      <c r="H62" s="137">
        <f t="shared" si="11"/>
        <v>-30571</v>
      </c>
      <c r="I62" s="137">
        <f t="shared" si="11"/>
        <v>-66274</v>
      </c>
      <c r="J62" s="137">
        <f t="shared" si="11"/>
        <v>-41007</v>
      </c>
      <c r="K62" s="137">
        <f t="shared" si="11"/>
        <v>-106299</v>
      </c>
      <c r="L62" s="137">
        <f t="shared" si="11"/>
        <v>-154790</v>
      </c>
      <c r="M62" s="137">
        <f t="shared" si="11"/>
        <v>0</v>
      </c>
      <c r="N62" s="137">
        <f t="shared" si="11"/>
        <v>0</v>
      </c>
      <c r="O62" s="137">
        <f t="shared" si="11"/>
        <v>0</v>
      </c>
      <c r="P62" s="165">
        <f t="shared" si="11"/>
        <v>0</v>
      </c>
      <c r="Q62" s="139">
        <f>SUM(Q59:Q61)</f>
        <v>-579091</v>
      </c>
    </row>
    <row r="63" spans="1:17" s="129" customFormat="1" ht="9.75" customHeight="1">
      <c r="A63" s="1385"/>
      <c r="B63" s="1388"/>
      <c r="C63" s="1391"/>
      <c r="D63" s="172" t="s">
        <v>416</v>
      </c>
      <c r="E63" s="133">
        <v>0</v>
      </c>
      <c r="F63" s="126">
        <v>0</v>
      </c>
      <c r="G63" s="126">
        <v>0</v>
      </c>
      <c r="H63" s="126">
        <v>0</v>
      </c>
      <c r="I63" s="126">
        <v>0</v>
      </c>
      <c r="J63" s="126">
        <v>0</v>
      </c>
      <c r="K63" s="126">
        <v>0</v>
      </c>
      <c r="L63" s="126">
        <v>0</v>
      </c>
      <c r="M63" s="126"/>
      <c r="N63" s="126"/>
      <c r="O63" s="126"/>
      <c r="P63" s="127"/>
      <c r="Q63" s="131">
        <f>SUM(E63:P63)</f>
        <v>0</v>
      </c>
    </row>
    <row r="64" spans="1:17" s="129" customFormat="1" ht="9.75" customHeight="1">
      <c r="A64" s="1385"/>
      <c r="B64" s="1388"/>
      <c r="C64" s="1391"/>
      <c r="D64" s="172" t="s">
        <v>417</v>
      </c>
      <c r="E64" s="133">
        <v>0</v>
      </c>
      <c r="F64" s="126">
        <v>0</v>
      </c>
      <c r="G64" s="126">
        <v>6690</v>
      </c>
      <c r="H64" s="126">
        <v>4490</v>
      </c>
      <c r="I64" s="126">
        <v>0</v>
      </c>
      <c r="J64" s="126">
        <v>0</v>
      </c>
      <c r="K64" s="126">
        <v>0</v>
      </c>
      <c r="L64" s="126">
        <v>0</v>
      </c>
      <c r="M64" s="126"/>
      <c r="N64" s="126"/>
      <c r="O64" s="126"/>
      <c r="P64" s="127"/>
      <c r="Q64" s="131">
        <f>SUM(E64:P64)</f>
        <v>11180</v>
      </c>
    </row>
    <row r="65" spans="1:17" s="129" customFormat="1" ht="9.75" customHeight="1">
      <c r="A65" s="1385"/>
      <c r="B65" s="1388"/>
      <c r="C65" s="1391"/>
      <c r="D65" s="172" t="s">
        <v>418</v>
      </c>
      <c r="E65" s="133">
        <v>0</v>
      </c>
      <c r="F65" s="126">
        <v>0</v>
      </c>
      <c r="G65" s="126">
        <v>290</v>
      </c>
      <c r="H65" s="126">
        <v>1340</v>
      </c>
      <c r="I65" s="126">
        <v>0</v>
      </c>
      <c r="J65" s="126">
        <v>60</v>
      </c>
      <c r="K65" s="126">
        <v>0</v>
      </c>
      <c r="L65" s="126">
        <v>0</v>
      </c>
      <c r="M65" s="126"/>
      <c r="N65" s="126"/>
      <c r="O65" s="126"/>
      <c r="P65" s="127"/>
      <c r="Q65" s="131">
        <f>SUM(E65:P65)</f>
        <v>1690</v>
      </c>
    </row>
    <row r="66" spans="1:17" s="129" customFormat="1" ht="9.75" customHeight="1">
      <c r="A66" s="1385"/>
      <c r="B66" s="1388"/>
      <c r="C66" s="1391"/>
      <c r="D66" s="181" t="s">
        <v>419</v>
      </c>
      <c r="E66" s="138">
        <f>SUM(E63:E65)</f>
        <v>0</v>
      </c>
      <c r="F66" s="137">
        <f aca="true" t="shared" si="12" ref="F66:P66">SUM(F63:F65)</f>
        <v>0</v>
      </c>
      <c r="G66" s="137">
        <f t="shared" si="12"/>
        <v>6980</v>
      </c>
      <c r="H66" s="137">
        <f t="shared" si="12"/>
        <v>5830</v>
      </c>
      <c r="I66" s="137">
        <f t="shared" si="12"/>
        <v>0</v>
      </c>
      <c r="J66" s="137">
        <f t="shared" si="12"/>
        <v>60</v>
      </c>
      <c r="K66" s="137">
        <f t="shared" si="12"/>
        <v>0</v>
      </c>
      <c r="L66" s="137">
        <f t="shared" si="12"/>
        <v>0</v>
      </c>
      <c r="M66" s="137">
        <f t="shared" si="12"/>
        <v>0</v>
      </c>
      <c r="N66" s="137">
        <f t="shared" si="12"/>
        <v>0</v>
      </c>
      <c r="O66" s="137">
        <f t="shared" si="12"/>
        <v>0</v>
      </c>
      <c r="P66" s="165">
        <f t="shared" si="12"/>
        <v>0</v>
      </c>
      <c r="Q66" s="139">
        <f>SUM(Q63:Q65)</f>
        <v>12870</v>
      </c>
    </row>
    <row r="67" spans="1:17" s="129" customFormat="1" ht="9.75" customHeight="1">
      <c r="A67" s="1385"/>
      <c r="B67" s="1388"/>
      <c r="C67" s="1393" t="s">
        <v>850</v>
      </c>
      <c r="D67" s="172" t="s">
        <v>873</v>
      </c>
      <c r="E67" s="142">
        <v>30475</v>
      </c>
      <c r="F67" s="132">
        <v>25930</v>
      </c>
      <c r="G67" s="132">
        <v>47091</v>
      </c>
      <c r="H67" s="132">
        <v>28476</v>
      </c>
      <c r="I67" s="132">
        <v>25075</v>
      </c>
      <c r="J67" s="132">
        <v>27212</v>
      </c>
      <c r="K67" s="132">
        <v>27089</v>
      </c>
      <c r="L67" s="132">
        <v>28550</v>
      </c>
      <c r="M67" s="132"/>
      <c r="N67" s="132"/>
      <c r="O67" s="132"/>
      <c r="P67" s="143"/>
      <c r="Q67" s="131">
        <f>SUM(E67:P67)</f>
        <v>239898</v>
      </c>
    </row>
    <row r="68" spans="1:17" s="129" customFormat="1" ht="9.75" customHeight="1">
      <c r="A68" s="1385"/>
      <c r="B68" s="1388"/>
      <c r="C68" s="1391"/>
      <c r="D68" s="172" t="s">
        <v>865</v>
      </c>
      <c r="E68" s="133">
        <v>44640</v>
      </c>
      <c r="F68" s="126">
        <v>40320</v>
      </c>
      <c r="G68" s="126">
        <v>22290</v>
      </c>
      <c r="H68" s="167" t="s">
        <v>325</v>
      </c>
      <c r="I68" s="126">
        <v>40920</v>
      </c>
      <c r="J68" s="126">
        <v>2520</v>
      </c>
      <c r="K68" s="126">
        <v>79210</v>
      </c>
      <c r="L68" s="126">
        <v>126240</v>
      </c>
      <c r="M68" s="126"/>
      <c r="N68" s="126"/>
      <c r="O68" s="126"/>
      <c r="P68" s="127"/>
      <c r="Q68" s="131">
        <f aca="true" t="shared" si="13" ref="Q68:Q74">SUM(E68:P68)</f>
        <v>356140</v>
      </c>
    </row>
    <row r="69" spans="1:17" s="129" customFormat="1" ht="9.75" customHeight="1">
      <c r="A69" s="1385"/>
      <c r="B69" s="1388"/>
      <c r="C69" s="1391"/>
      <c r="D69" s="172" t="s">
        <v>887</v>
      </c>
      <c r="E69" s="133">
        <v>-4450</v>
      </c>
      <c r="F69" s="126">
        <v>-6041</v>
      </c>
      <c r="G69" s="126">
        <v>-8000</v>
      </c>
      <c r="H69" s="126">
        <v>-6443</v>
      </c>
      <c r="I69" s="126">
        <v>-6883</v>
      </c>
      <c r="J69" s="126">
        <v>-6922</v>
      </c>
      <c r="K69" s="126">
        <v>-6658</v>
      </c>
      <c r="L69" s="126">
        <v>-6733</v>
      </c>
      <c r="M69" s="126"/>
      <c r="N69" s="126"/>
      <c r="O69" s="126"/>
      <c r="P69" s="127"/>
      <c r="Q69" s="131">
        <f t="shared" si="13"/>
        <v>-52130</v>
      </c>
    </row>
    <row r="70" spans="1:17" s="129" customFormat="1" ht="9.75" customHeight="1">
      <c r="A70" s="1385"/>
      <c r="B70" s="1388"/>
      <c r="C70" s="1391"/>
      <c r="D70" s="172" t="s">
        <v>877</v>
      </c>
      <c r="E70" s="133">
        <v>4450</v>
      </c>
      <c r="F70" s="126">
        <v>6041</v>
      </c>
      <c r="G70" s="126">
        <v>8000</v>
      </c>
      <c r="H70" s="126">
        <v>6443</v>
      </c>
      <c r="I70" s="126">
        <v>6883</v>
      </c>
      <c r="J70" s="126">
        <v>6922</v>
      </c>
      <c r="K70" s="126">
        <v>6658</v>
      </c>
      <c r="L70" s="126">
        <v>6733</v>
      </c>
      <c r="M70" s="126"/>
      <c r="N70" s="126"/>
      <c r="O70" s="126"/>
      <c r="P70" s="127"/>
      <c r="Q70" s="131">
        <f t="shared" si="13"/>
        <v>52130</v>
      </c>
    </row>
    <row r="71" spans="1:17" s="129" customFormat="1" ht="9.75" customHeight="1">
      <c r="A71" s="1385"/>
      <c r="B71" s="1388"/>
      <c r="C71" s="1391"/>
      <c r="D71" s="172" t="s">
        <v>888</v>
      </c>
      <c r="E71" s="173" t="s">
        <v>325</v>
      </c>
      <c r="F71" s="146" t="s">
        <v>325</v>
      </c>
      <c r="G71" s="146" t="s">
        <v>325</v>
      </c>
      <c r="H71" s="126">
        <v>-8800</v>
      </c>
      <c r="I71" s="146" t="s">
        <v>325</v>
      </c>
      <c r="J71" s="146" t="s">
        <v>325</v>
      </c>
      <c r="K71" s="146" t="s">
        <v>325</v>
      </c>
      <c r="L71" s="146" t="s">
        <v>325</v>
      </c>
      <c r="M71" s="126"/>
      <c r="N71" s="126"/>
      <c r="O71" s="126"/>
      <c r="P71" s="127"/>
      <c r="Q71" s="131">
        <f t="shared" si="13"/>
        <v>-8800</v>
      </c>
    </row>
    <row r="72" spans="1:17" s="129" customFormat="1" ht="9.75" customHeight="1">
      <c r="A72" s="1385"/>
      <c r="B72" s="1388"/>
      <c r="C72" s="1391"/>
      <c r="D72" s="172" t="s">
        <v>866</v>
      </c>
      <c r="E72" s="173" t="s">
        <v>325</v>
      </c>
      <c r="F72" s="146" t="s">
        <v>325</v>
      </c>
      <c r="G72" s="146" t="s">
        <v>325</v>
      </c>
      <c r="H72" s="146" t="s">
        <v>325</v>
      </c>
      <c r="I72" s="146" t="s">
        <v>325</v>
      </c>
      <c r="J72" s="126">
        <v>3675</v>
      </c>
      <c r="K72" s="146" t="s">
        <v>325</v>
      </c>
      <c r="L72" s="146" t="s">
        <v>325</v>
      </c>
      <c r="M72" s="126"/>
      <c r="N72" s="126"/>
      <c r="O72" s="126"/>
      <c r="P72" s="127"/>
      <c r="Q72" s="131">
        <f t="shared" si="13"/>
        <v>3675</v>
      </c>
    </row>
    <row r="73" spans="1:17" s="129" customFormat="1" ht="9.75" customHeight="1">
      <c r="A73" s="1385"/>
      <c r="B73" s="1388"/>
      <c r="C73" s="1391"/>
      <c r="D73" s="172" t="s">
        <v>882</v>
      </c>
      <c r="E73" s="173" t="s">
        <v>325</v>
      </c>
      <c r="F73" s="146" t="s">
        <v>325</v>
      </c>
      <c r="G73" s="126">
        <v>-33656</v>
      </c>
      <c r="H73" s="146" t="s">
        <v>325</v>
      </c>
      <c r="I73" s="126">
        <v>-6417</v>
      </c>
      <c r="J73" s="126">
        <v>-2426</v>
      </c>
      <c r="K73" s="146" t="s">
        <v>325</v>
      </c>
      <c r="L73" s="146" t="s">
        <v>325</v>
      </c>
      <c r="M73" s="126"/>
      <c r="N73" s="126"/>
      <c r="O73" s="126"/>
      <c r="P73" s="127"/>
      <c r="Q73" s="131">
        <f t="shared" si="13"/>
        <v>-42499</v>
      </c>
    </row>
    <row r="74" spans="1:17" s="129" customFormat="1" ht="9.75" customHeight="1">
      <c r="A74" s="1385"/>
      <c r="B74" s="1388"/>
      <c r="C74" s="1391"/>
      <c r="D74" s="172" t="s">
        <v>876</v>
      </c>
      <c r="E74" s="173" t="s">
        <v>325</v>
      </c>
      <c r="F74" s="146" t="s">
        <v>325</v>
      </c>
      <c r="G74" s="146" t="s">
        <v>325</v>
      </c>
      <c r="H74" s="126">
        <v>5065</v>
      </c>
      <c r="I74" s="126">
        <v>6696</v>
      </c>
      <c r="J74" s="126">
        <v>9966</v>
      </c>
      <c r="K74" s="146" t="s">
        <v>325</v>
      </c>
      <c r="L74" s="146" t="s">
        <v>325</v>
      </c>
      <c r="M74" s="126"/>
      <c r="N74" s="126"/>
      <c r="O74" s="126"/>
      <c r="P74" s="127"/>
      <c r="Q74" s="131">
        <f t="shared" si="13"/>
        <v>21727</v>
      </c>
    </row>
    <row r="75" spans="1:17" s="129" customFormat="1" ht="9.75" customHeight="1">
      <c r="A75" s="1385"/>
      <c r="B75" s="1388"/>
      <c r="C75" s="1391"/>
      <c r="D75" s="172" t="s">
        <v>889</v>
      </c>
      <c r="E75" s="133">
        <v>-3920</v>
      </c>
      <c r="F75" s="146" t="s">
        <v>325</v>
      </c>
      <c r="G75" s="146" t="s">
        <v>325</v>
      </c>
      <c r="H75" s="146" t="s">
        <v>325</v>
      </c>
      <c r="I75" s="146" t="s">
        <v>325</v>
      </c>
      <c r="J75" s="146" t="s">
        <v>325</v>
      </c>
      <c r="K75" s="146" t="s">
        <v>325</v>
      </c>
      <c r="L75" s="146" t="s">
        <v>325</v>
      </c>
      <c r="M75" s="126"/>
      <c r="N75" s="126"/>
      <c r="O75" s="126"/>
      <c r="P75" s="127"/>
      <c r="Q75" s="131">
        <f>SUM(E75:P75)</f>
        <v>-3920</v>
      </c>
    </row>
    <row r="76" spans="1:17" s="129" customFormat="1" ht="9.75" customHeight="1" thickBot="1">
      <c r="A76" s="1386"/>
      <c r="B76" s="1389"/>
      <c r="C76" s="1394"/>
      <c r="D76" s="177" t="s">
        <v>420</v>
      </c>
      <c r="E76" s="182">
        <f>SUM(E67:E75)</f>
        <v>71195</v>
      </c>
      <c r="F76" s="182">
        <f aca="true" t="shared" si="14" ref="F76:Q76">SUM(F67:F75)</f>
        <v>66250</v>
      </c>
      <c r="G76" s="182">
        <f t="shared" si="14"/>
        <v>35725</v>
      </c>
      <c r="H76" s="182">
        <f t="shared" si="14"/>
        <v>24741</v>
      </c>
      <c r="I76" s="182">
        <f t="shared" si="14"/>
        <v>66274</v>
      </c>
      <c r="J76" s="182">
        <f t="shared" si="14"/>
        <v>40947</v>
      </c>
      <c r="K76" s="182">
        <f t="shared" si="14"/>
        <v>106299</v>
      </c>
      <c r="L76" s="182">
        <f t="shared" si="14"/>
        <v>154790</v>
      </c>
      <c r="M76" s="182">
        <f t="shared" si="14"/>
        <v>0</v>
      </c>
      <c r="N76" s="182">
        <f t="shared" si="14"/>
        <v>0</v>
      </c>
      <c r="O76" s="182">
        <f t="shared" si="14"/>
        <v>0</v>
      </c>
      <c r="P76" s="182">
        <f t="shared" si="14"/>
        <v>0</v>
      </c>
      <c r="Q76" s="183">
        <f t="shared" si="14"/>
        <v>566221</v>
      </c>
    </row>
    <row r="77" spans="1:17" s="160" customFormat="1" ht="9.75" customHeight="1" thickBot="1">
      <c r="A77" s="152"/>
      <c r="B77" s="153"/>
      <c r="C77" s="154"/>
      <c r="D77" s="184"/>
      <c r="E77" s="179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8"/>
      <c r="Q77" s="159"/>
    </row>
    <row r="78" spans="1:17" s="129" customFormat="1" ht="9.75" customHeight="1">
      <c r="A78" s="1384">
        <v>5</v>
      </c>
      <c r="B78" s="1387" t="s">
        <v>422</v>
      </c>
      <c r="C78" s="1390" t="s">
        <v>849</v>
      </c>
      <c r="D78" s="171" t="s">
        <v>412</v>
      </c>
      <c r="E78" s="180">
        <v>-20655</v>
      </c>
      <c r="F78" s="162">
        <v>-13103</v>
      </c>
      <c r="G78" s="162">
        <v>-1648</v>
      </c>
      <c r="H78" s="162">
        <v>-3942</v>
      </c>
      <c r="I78" s="162">
        <v>-12544</v>
      </c>
      <c r="J78" s="162">
        <v>-12973</v>
      </c>
      <c r="K78" s="162">
        <v>-21857</v>
      </c>
      <c r="L78" s="162">
        <v>-10843</v>
      </c>
      <c r="M78" s="162"/>
      <c r="N78" s="162"/>
      <c r="O78" s="162"/>
      <c r="P78" s="163"/>
      <c r="Q78" s="164">
        <f>SUM(E78:P78)</f>
        <v>-97565</v>
      </c>
    </row>
    <row r="79" spans="1:17" s="129" customFormat="1" ht="9.75" customHeight="1">
      <c r="A79" s="1385"/>
      <c r="B79" s="1388"/>
      <c r="C79" s="1391"/>
      <c r="D79" s="172" t="s">
        <v>413</v>
      </c>
      <c r="E79" s="133">
        <v>0</v>
      </c>
      <c r="F79" s="126">
        <v>-1881</v>
      </c>
      <c r="G79" s="126">
        <v>0</v>
      </c>
      <c r="H79" s="126">
        <v>0</v>
      </c>
      <c r="I79" s="126">
        <v>0</v>
      </c>
      <c r="J79" s="126">
        <v>0</v>
      </c>
      <c r="K79" s="126">
        <v>0</v>
      </c>
      <c r="L79" s="126">
        <v>0</v>
      </c>
      <c r="M79" s="126"/>
      <c r="N79" s="126"/>
      <c r="O79" s="126"/>
      <c r="P79" s="127"/>
      <c r="Q79" s="131">
        <f>SUM(E79:P79)</f>
        <v>-1881</v>
      </c>
    </row>
    <row r="80" spans="1:17" s="129" customFormat="1" ht="9.75" customHeight="1">
      <c r="A80" s="1385"/>
      <c r="B80" s="1388"/>
      <c r="C80" s="1391"/>
      <c r="D80" s="172" t="s">
        <v>414</v>
      </c>
      <c r="E80" s="133">
        <v>-4064</v>
      </c>
      <c r="F80" s="126">
        <v>-8218</v>
      </c>
      <c r="G80" s="126">
        <v>-7291</v>
      </c>
      <c r="H80" s="126">
        <v>-3125</v>
      </c>
      <c r="I80" s="126">
        <v>-15680</v>
      </c>
      <c r="J80" s="126">
        <v>-6319</v>
      </c>
      <c r="K80" s="126">
        <v>-5788</v>
      </c>
      <c r="L80" s="126">
        <v>-27609</v>
      </c>
      <c r="M80" s="126"/>
      <c r="N80" s="126"/>
      <c r="O80" s="126"/>
      <c r="P80" s="127"/>
      <c r="Q80" s="131">
        <f>SUM(E80:P80)</f>
        <v>-78094</v>
      </c>
    </row>
    <row r="81" spans="1:17" s="129" customFormat="1" ht="9.75" customHeight="1">
      <c r="A81" s="1385"/>
      <c r="B81" s="1388"/>
      <c r="C81" s="1391"/>
      <c r="D81" s="181" t="s">
        <v>415</v>
      </c>
      <c r="E81" s="138">
        <f>SUM(E78:E80)</f>
        <v>-24719</v>
      </c>
      <c r="F81" s="137">
        <f aca="true" t="shared" si="15" ref="F81:P81">SUM(F78:F80)</f>
        <v>-23202</v>
      </c>
      <c r="G81" s="137">
        <f t="shared" si="15"/>
        <v>-8939</v>
      </c>
      <c r="H81" s="137">
        <f t="shared" si="15"/>
        <v>-7067</v>
      </c>
      <c r="I81" s="137">
        <f t="shared" si="15"/>
        <v>-28224</v>
      </c>
      <c r="J81" s="137">
        <f t="shared" si="15"/>
        <v>-19292</v>
      </c>
      <c r="K81" s="137">
        <f t="shared" si="15"/>
        <v>-27645</v>
      </c>
      <c r="L81" s="137">
        <f t="shared" si="15"/>
        <v>-38452</v>
      </c>
      <c r="M81" s="137">
        <f t="shared" si="15"/>
        <v>0</v>
      </c>
      <c r="N81" s="137">
        <f t="shared" si="15"/>
        <v>0</v>
      </c>
      <c r="O81" s="137">
        <f t="shared" si="15"/>
        <v>0</v>
      </c>
      <c r="P81" s="165">
        <f t="shared" si="15"/>
        <v>0</v>
      </c>
      <c r="Q81" s="139">
        <f>SUM(Q78:Q80)</f>
        <v>-177540</v>
      </c>
    </row>
    <row r="82" spans="1:17" s="129" customFormat="1" ht="9.75" customHeight="1">
      <c r="A82" s="1385"/>
      <c r="B82" s="1388"/>
      <c r="C82" s="1391"/>
      <c r="D82" s="172" t="s">
        <v>416</v>
      </c>
      <c r="E82" s="133">
        <v>3475</v>
      </c>
      <c r="F82" s="126">
        <v>11292</v>
      </c>
      <c r="G82" s="126">
        <v>8038</v>
      </c>
      <c r="H82" s="126">
        <v>6331</v>
      </c>
      <c r="I82" s="126">
        <v>8371</v>
      </c>
      <c r="J82" s="126">
        <v>2205</v>
      </c>
      <c r="K82" s="126">
        <v>2288</v>
      </c>
      <c r="L82" s="126">
        <v>5746</v>
      </c>
      <c r="M82" s="126"/>
      <c r="N82" s="126"/>
      <c r="O82" s="126"/>
      <c r="P82" s="127"/>
      <c r="Q82" s="131">
        <f>SUM(E82:P82)</f>
        <v>47746</v>
      </c>
    </row>
    <row r="83" spans="1:17" s="129" customFormat="1" ht="9.75" customHeight="1">
      <c r="A83" s="1385"/>
      <c r="B83" s="1388"/>
      <c r="C83" s="1391"/>
      <c r="D83" s="172" t="s">
        <v>417</v>
      </c>
      <c r="E83" s="133">
        <v>12874</v>
      </c>
      <c r="F83" s="126">
        <v>3264</v>
      </c>
      <c r="G83" s="126">
        <v>3714</v>
      </c>
      <c r="H83" s="126">
        <v>10457</v>
      </c>
      <c r="I83" s="126">
        <v>5651</v>
      </c>
      <c r="J83" s="126">
        <v>10399</v>
      </c>
      <c r="K83" s="126">
        <v>8521</v>
      </c>
      <c r="L83" s="126">
        <v>6045</v>
      </c>
      <c r="M83" s="126"/>
      <c r="N83" s="126"/>
      <c r="O83" s="126"/>
      <c r="P83" s="127"/>
      <c r="Q83" s="131">
        <f>SUM(E83:P83)</f>
        <v>60925</v>
      </c>
    </row>
    <row r="84" spans="1:17" s="129" customFormat="1" ht="9.75" customHeight="1">
      <c r="A84" s="1385"/>
      <c r="B84" s="1388"/>
      <c r="C84" s="1391"/>
      <c r="D84" s="172" t="s">
        <v>418</v>
      </c>
      <c r="E84" s="133">
        <v>12497</v>
      </c>
      <c r="F84" s="126">
        <v>12225</v>
      </c>
      <c r="G84" s="126">
        <v>572</v>
      </c>
      <c r="H84" s="126">
        <v>12115</v>
      </c>
      <c r="I84" s="126">
        <v>5352</v>
      </c>
      <c r="J84" s="126">
        <v>3142</v>
      </c>
      <c r="K84" s="126">
        <v>13382</v>
      </c>
      <c r="L84" s="126">
        <v>5053</v>
      </c>
      <c r="M84" s="126"/>
      <c r="N84" s="126"/>
      <c r="O84" s="126"/>
      <c r="P84" s="127"/>
      <c r="Q84" s="131">
        <f>SUM(E84:P84)</f>
        <v>64338</v>
      </c>
    </row>
    <row r="85" spans="1:17" s="129" customFormat="1" ht="9.75" customHeight="1">
      <c r="A85" s="1385"/>
      <c r="B85" s="1388"/>
      <c r="C85" s="1391"/>
      <c r="D85" s="181" t="s">
        <v>419</v>
      </c>
      <c r="E85" s="138">
        <f>SUM(E82:E84)</f>
        <v>28846</v>
      </c>
      <c r="F85" s="137">
        <f aca="true" t="shared" si="16" ref="F85:P85">SUM(F82:F84)</f>
        <v>26781</v>
      </c>
      <c r="G85" s="137">
        <f t="shared" si="16"/>
        <v>12324</v>
      </c>
      <c r="H85" s="137">
        <f t="shared" si="16"/>
        <v>28903</v>
      </c>
      <c r="I85" s="137">
        <f t="shared" si="16"/>
        <v>19374</v>
      </c>
      <c r="J85" s="137">
        <f t="shared" si="16"/>
        <v>15746</v>
      </c>
      <c r="K85" s="137">
        <f t="shared" si="16"/>
        <v>24191</v>
      </c>
      <c r="L85" s="137">
        <f t="shared" si="16"/>
        <v>16844</v>
      </c>
      <c r="M85" s="137">
        <f t="shared" si="16"/>
        <v>0</v>
      </c>
      <c r="N85" s="137">
        <f t="shared" si="16"/>
        <v>0</v>
      </c>
      <c r="O85" s="137">
        <f t="shared" si="16"/>
        <v>0</v>
      </c>
      <c r="P85" s="165">
        <f t="shared" si="16"/>
        <v>0</v>
      </c>
      <c r="Q85" s="139">
        <f>SUM(Q82:Q84)</f>
        <v>173009</v>
      </c>
    </row>
    <row r="86" spans="1:17" s="129" customFormat="1" ht="9.75" customHeight="1">
      <c r="A86" s="1385"/>
      <c r="B86" s="1388"/>
      <c r="C86" s="1393" t="s">
        <v>850</v>
      </c>
      <c r="D86" s="172" t="s">
        <v>865</v>
      </c>
      <c r="E86" s="173" t="s">
        <v>325</v>
      </c>
      <c r="F86" s="146" t="s">
        <v>325</v>
      </c>
      <c r="G86" s="146" t="s">
        <v>325</v>
      </c>
      <c r="H86" s="146" t="s">
        <v>325</v>
      </c>
      <c r="I86" s="126">
        <v>8928</v>
      </c>
      <c r="J86" s="146" t="s">
        <v>325</v>
      </c>
      <c r="K86" s="146" t="s">
        <v>325</v>
      </c>
      <c r="L86" s="146" t="s">
        <v>325</v>
      </c>
      <c r="M86" s="126"/>
      <c r="N86" s="126"/>
      <c r="O86" s="126"/>
      <c r="P86" s="127"/>
      <c r="Q86" s="131">
        <f>SUM(E86:P86)</f>
        <v>8928</v>
      </c>
    </row>
    <row r="87" spans="1:17" s="129" customFormat="1" ht="9.75" customHeight="1">
      <c r="A87" s="1385"/>
      <c r="B87" s="1388"/>
      <c r="C87" s="1391"/>
      <c r="D87" s="172" t="s">
        <v>888</v>
      </c>
      <c r="E87" s="173" t="s">
        <v>325</v>
      </c>
      <c r="F87" s="146" t="s">
        <v>325</v>
      </c>
      <c r="G87" s="146" t="s">
        <v>325</v>
      </c>
      <c r="H87" s="126">
        <v>-1440</v>
      </c>
      <c r="I87" s="146" t="s">
        <v>325</v>
      </c>
      <c r="J87" s="146" t="s">
        <v>325</v>
      </c>
      <c r="K87" s="146" t="s">
        <v>325</v>
      </c>
      <c r="L87" s="146" t="s">
        <v>325</v>
      </c>
      <c r="M87" s="126"/>
      <c r="N87" s="126"/>
      <c r="O87" s="126"/>
      <c r="P87" s="127"/>
      <c r="Q87" s="131">
        <f>SUM(E87:P87)</f>
        <v>-1440</v>
      </c>
    </row>
    <row r="88" spans="1:17" s="129" customFormat="1" ht="9.75" customHeight="1">
      <c r="A88" s="1385"/>
      <c r="B88" s="1388"/>
      <c r="C88" s="1391"/>
      <c r="D88" s="172" t="s">
        <v>866</v>
      </c>
      <c r="E88" s="173" t="s">
        <v>325</v>
      </c>
      <c r="F88" s="146" t="s">
        <v>325</v>
      </c>
      <c r="G88" s="146" t="s">
        <v>325</v>
      </c>
      <c r="H88" s="146" t="s">
        <v>325</v>
      </c>
      <c r="I88" s="146" t="s">
        <v>325</v>
      </c>
      <c r="J88" s="126">
        <v>3570</v>
      </c>
      <c r="K88" s="146" t="s">
        <v>325</v>
      </c>
      <c r="L88" s="146" t="s">
        <v>325</v>
      </c>
      <c r="M88" s="126"/>
      <c r="N88" s="126"/>
      <c r="O88" s="126"/>
      <c r="P88" s="127"/>
      <c r="Q88" s="131">
        <f>SUM(E88:P88)</f>
        <v>3570</v>
      </c>
    </row>
    <row r="89" spans="1:17" s="129" customFormat="1" ht="9.75" customHeight="1">
      <c r="A89" s="1385"/>
      <c r="B89" s="1388"/>
      <c r="C89" s="1391"/>
      <c r="D89" s="172" t="s">
        <v>886</v>
      </c>
      <c r="E89" s="133">
        <v>-4127</v>
      </c>
      <c r="F89" s="126">
        <v>-3579</v>
      </c>
      <c r="G89" s="126">
        <v>-3385</v>
      </c>
      <c r="H89" s="126">
        <v>-200</v>
      </c>
      <c r="I89" s="126">
        <v>-78</v>
      </c>
      <c r="J89" s="126">
        <v>-24</v>
      </c>
      <c r="K89" s="126">
        <v>-46</v>
      </c>
      <c r="L89" s="146" t="s">
        <v>325</v>
      </c>
      <c r="M89" s="126"/>
      <c r="N89" s="126"/>
      <c r="O89" s="126"/>
      <c r="P89" s="127"/>
      <c r="Q89" s="131">
        <f>SUM(E89:P89)</f>
        <v>-11439</v>
      </c>
    </row>
    <row r="90" spans="1:17" s="129" customFormat="1" ht="9.75" customHeight="1">
      <c r="A90" s="1385"/>
      <c r="B90" s="1388"/>
      <c r="C90" s="1391"/>
      <c r="D90" s="172" t="s">
        <v>882</v>
      </c>
      <c r="E90" s="173" t="s">
        <v>325</v>
      </c>
      <c r="F90" s="146" t="s">
        <v>325</v>
      </c>
      <c r="G90" s="146" t="s">
        <v>325</v>
      </c>
      <c r="H90" s="126">
        <v>-20196</v>
      </c>
      <c r="I90" s="146" t="s">
        <v>325</v>
      </c>
      <c r="J90" s="146" t="s">
        <v>325</v>
      </c>
      <c r="K90" s="146" t="s">
        <v>325</v>
      </c>
      <c r="L90" s="146" t="s">
        <v>325</v>
      </c>
      <c r="M90" s="126"/>
      <c r="N90" s="126"/>
      <c r="O90" s="126"/>
      <c r="P90" s="127"/>
      <c r="Q90" s="131">
        <f>SUM(E90:P90)</f>
        <v>-20196</v>
      </c>
    </row>
    <row r="91" spans="1:17" s="129" customFormat="1" ht="9.75" customHeight="1">
      <c r="A91" s="1385"/>
      <c r="B91" s="1388"/>
      <c r="C91" s="1391"/>
      <c r="D91" s="172" t="s">
        <v>867</v>
      </c>
      <c r="E91" s="173" t="s">
        <v>325</v>
      </c>
      <c r="F91" s="146" t="s">
        <v>325</v>
      </c>
      <c r="G91" s="146" t="s">
        <v>325</v>
      </c>
      <c r="H91" s="173" t="s">
        <v>325</v>
      </c>
      <c r="I91" s="146" t="s">
        <v>325</v>
      </c>
      <c r="J91" s="146" t="s">
        <v>325</v>
      </c>
      <c r="K91" s="126">
        <v>3500</v>
      </c>
      <c r="L91" s="126">
        <v>21608</v>
      </c>
      <c r="M91" s="126"/>
      <c r="N91" s="126"/>
      <c r="O91" s="126"/>
      <c r="P91" s="126"/>
      <c r="Q91" s="131">
        <f>SUM(E91:P91)</f>
        <v>25108</v>
      </c>
    </row>
    <row r="92" spans="1:17" s="129" customFormat="1" ht="9.75" customHeight="1" thickBot="1">
      <c r="A92" s="1386"/>
      <c r="B92" s="1389"/>
      <c r="C92" s="1394"/>
      <c r="D92" s="177" t="s">
        <v>420</v>
      </c>
      <c r="E92" s="182">
        <f>SUM(E86:E91)</f>
        <v>-4127</v>
      </c>
      <c r="F92" s="168">
        <f>SUM(F86:F91)</f>
        <v>-3579</v>
      </c>
      <c r="G92" s="168">
        <f aca="true" t="shared" si="17" ref="G92:P92">SUM(G86:G91)</f>
        <v>-3385</v>
      </c>
      <c r="H92" s="168">
        <f t="shared" si="17"/>
        <v>-21836</v>
      </c>
      <c r="I92" s="168">
        <f t="shared" si="17"/>
        <v>8850</v>
      </c>
      <c r="J92" s="168">
        <f t="shared" si="17"/>
        <v>3546</v>
      </c>
      <c r="K92" s="168">
        <f t="shared" si="17"/>
        <v>3454</v>
      </c>
      <c r="L92" s="168">
        <f>SUM(L86:L91)</f>
        <v>21608</v>
      </c>
      <c r="M92" s="168">
        <f t="shared" si="17"/>
        <v>0</v>
      </c>
      <c r="N92" s="168">
        <f t="shared" si="17"/>
        <v>0</v>
      </c>
      <c r="O92" s="168">
        <f t="shared" si="17"/>
        <v>0</v>
      </c>
      <c r="P92" s="168">
        <f t="shared" si="17"/>
        <v>0</v>
      </c>
      <c r="Q92" s="183">
        <f>SUM(Q86:Q91)</f>
        <v>4531</v>
      </c>
    </row>
    <row r="93" spans="1:17" s="160" customFormat="1" ht="9.75" customHeight="1" thickBot="1">
      <c r="A93" s="152"/>
      <c r="B93" s="153"/>
      <c r="C93" s="154"/>
      <c r="D93" s="184"/>
      <c r="E93" s="179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8"/>
      <c r="Q93" s="159"/>
    </row>
    <row r="94" spans="1:17" s="129" customFormat="1" ht="9.75" customHeight="1">
      <c r="A94" s="1384">
        <v>6</v>
      </c>
      <c r="B94" s="1387" t="s">
        <v>423</v>
      </c>
      <c r="C94" s="1390" t="s">
        <v>849</v>
      </c>
      <c r="D94" s="171" t="s">
        <v>412</v>
      </c>
      <c r="E94" s="185" t="s">
        <v>325</v>
      </c>
      <c r="F94" s="186" t="s">
        <v>325</v>
      </c>
      <c r="G94" s="162">
        <v>0</v>
      </c>
      <c r="H94" s="186" t="s">
        <v>325</v>
      </c>
      <c r="I94" s="186" t="s">
        <v>325</v>
      </c>
      <c r="J94" s="162">
        <v>0</v>
      </c>
      <c r="K94" s="186" t="s">
        <v>325</v>
      </c>
      <c r="L94" s="186" t="s">
        <v>325</v>
      </c>
      <c r="M94" s="162"/>
      <c r="N94" s="162"/>
      <c r="O94" s="162"/>
      <c r="P94" s="163"/>
      <c r="Q94" s="164">
        <f>SUM(E94:P94)</f>
        <v>0</v>
      </c>
    </row>
    <row r="95" spans="1:17" s="129" customFormat="1" ht="9.75" customHeight="1">
      <c r="A95" s="1385"/>
      <c r="B95" s="1388"/>
      <c r="C95" s="1391"/>
      <c r="D95" s="172" t="s">
        <v>413</v>
      </c>
      <c r="E95" s="187" t="s">
        <v>325</v>
      </c>
      <c r="F95" s="167" t="s">
        <v>325</v>
      </c>
      <c r="G95" s="126">
        <v>0</v>
      </c>
      <c r="H95" s="167" t="s">
        <v>325</v>
      </c>
      <c r="I95" s="167" t="s">
        <v>325</v>
      </c>
      <c r="J95" s="126">
        <v>0</v>
      </c>
      <c r="K95" s="167" t="s">
        <v>325</v>
      </c>
      <c r="L95" s="167" t="s">
        <v>325</v>
      </c>
      <c r="M95" s="126"/>
      <c r="N95" s="126"/>
      <c r="O95" s="126"/>
      <c r="P95" s="127"/>
      <c r="Q95" s="131">
        <f>SUM(E95:P95)</f>
        <v>0</v>
      </c>
    </row>
    <row r="96" spans="1:17" s="129" customFormat="1" ht="9.75" customHeight="1">
      <c r="A96" s="1385"/>
      <c r="B96" s="1388"/>
      <c r="C96" s="1391"/>
      <c r="D96" s="172" t="s">
        <v>414</v>
      </c>
      <c r="E96" s="187" t="s">
        <v>325</v>
      </c>
      <c r="F96" s="167" t="s">
        <v>325</v>
      </c>
      <c r="G96" s="126">
        <v>0</v>
      </c>
      <c r="H96" s="167" t="s">
        <v>325</v>
      </c>
      <c r="I96" s="167" t="s">
        <v>325</v>
      </c>
      <c r="J96" s="126">
        <v>0</v>
      </c>
      <c r="K96" s="167" t="s">
        <v>325</v>
      </c>
      <c r="L96" s="167" t="s">
        <v>325</v>
      </c>
      <c r="M96" s="126"/>
      <c r="N96" s="126"/>
      <c r="O96" s="126"/>
      <c r="P96" s="127"/>
      <c r="Q96" s="131">
        <f>SUM(E96:P96)</f>
        <v>0</v>
      </c>
    </row>
    <row r="97" spans="1:17" s="129" customFormat="1" ht="9.75" customHeight="1">
      <c r="A97" s="1385"/>
      <c r="B97" s="1388"/>
      <c r="C97" s="1391"/>
      <c r="D97" s="181" t="s">
        <v>415</v>
      </c>
      <c r="E97" s="138">
        <f>SUM(E94:E96)</f>
        <v>0</v>
      </c>
      <c r="F97" s="137">
        <f aca="true" t="shared" si="18" ref="F97:P97">SUM(F94:F96)</f>
        <v>0</v>
      </c>
      <c r="G97" s="137">
        <f t="shared" si="18"/>
        <v>0</v>
      </c>
      <c r="H97" s="137">
        <f t="shared" si="18"/>
        <v>0</v>
      </c>
      <c r="I97" s="137">
        <f t="shared" si="18"/>
        <v>0</v>
      </c>
      <c r="J97" s="136">
        <f t="shared" si="18"/>
        <v>0</v>
      </c>
      <c r="K97" s="137">
        <f t="shared" si="18"/>
        <v>0</v>
      </c>
      <c r="L97" s="137">
        <f t="shared" si="18"/>
        <v>0</v>
      </c>
      <c r="M97" s="137">
        <f t="shared" si="18"/>
        <v>0</v>
      </c>
      <c r="N97" s="137">
        <f t="shared" si="18"/>
        <v>0</v>
      </c>
      <c r="O97" s="137">
        <f t="shared" si="18"/>
        <v>0</v>
      </c>
      <c r="P97" s="165">
        <f t="shared" si="18"/>
        <v>0</v>
      </c>
      <c r="Q97" s="139">
        <f>SUM(Q94:Q96)</f>
        <v>0</v>
      </c>
    </row>
    <row r="98" spans="1:17" s="129" customFormat="1" ht="9.75" customHeight="1">
      <c r="A98" s="1385"/>
      <c r="B98" s="1388"/>
      <c r="C98" s="1391"/>
      <c r="D98" s="172" t="s">
        <v>416</v>
      </c>
      <c r="E98" s="187" t="s">
        <v>325</v>
      </c>
      <c r="F98" s="167" t="s">
        <v>325</v>
      </c>
      <c r="G98" s="126">
        <v>0</v>
      </c>
      <c r="H98" s="167" t="s">
        <v>325</v>
      </c>
      <c r="I98" s="167" t="s">
        <v>325</v>
      </c>
      <c r="J98" s="126">
        <v>0</v>
      </c>
      <c r="K98" s="167" t="s">
        <v>325</v>
      </c>
      <c r="L98" s="167" t="s">
        <v>325</v>
      </c>
      <c r="M98" s="126"/>
      <c r="N98" s="126"/>
      <c r="O98" s="126"/>
      <c r="P98" s="127"/>
      <c r="Q98" s="131">
        <f>SUM(E98:P98)</f>
        <v>0</v>
      </c>
    </row>
    <row r="99" spans="1:17" s="129" customFormat="1" ht="9.75" customHeight="1">
      <c r="A99" s="1385"/>
      <c r="B99" s="1388"/>
      <c r="C99" s="1391"/>
      <c r="D99" s="172" t="s">
        <v>417</v>
      </c>
      <c r="E99" s="187" t="s">
        <v>325</v>
      </c>
      <c r="F99" s="167" t="s">
        <v>325</v>
      </c>
      <c r="G99" s="126">
        <v>3715</v>
      </c>
      <c r="H99" s="167" t="s">
        <v>325</v>
      </c>
      <c r="I99" s="167" t="s">
        <v>325</v>
      </c>
      <c r="J99" s="126">
        <v>0</v>
      </c>
      <c r="K99" s="167" t="s">
        <v>325</v>
      </c>
      <c r="L99" s="167" t="s">
        <v>325</v>
      </c>
      <c r="M99" s="126"/>
      <c r="N99" s="126"/>
      <c r="O99" s="126"/>
      <c r="P99" s="127"/>
      <c r="Q99" s="131">
        <f>SUM(E99:P99)</f>
        <v>3715</v>
      </c>
    </row>
    <row r="100" spans="1:17" s="129" customFormat="1" ht="9.75" customHeight="1">
      <c r="A100" s="1385"/>
      <c r="B100" s="1388"/>
      <c r="C100" s="1391"/>
      <c r="D100" s="172" t="s">
        <v>418</v>
      </c>
      <c r="E100" s="187" t="s">
        <v>325</v>
      </c>
      <c r="F100" s="167" t="s">
        <v>325</v>
      </c>
      <c r="G100" s="126">
        <v>0</v>
      </c>
      <c r="H100" s="167" t="s">
        <v>325</v>
      </c>
      <c r="I100" s="167" t="s">
        <v>325</v>
      </c>
      <c r="J100" s="126">
        <v>0</v>
      </c>
      <c r="K100" s="167" t="s">
        <v>325</v>
      </c>
      <c r="L100" s="167" t="s">
        <v>325</v>
      </c>
      <c r="M100" s="126"/>
      <c r="N100" s="126"/>
      <c r="O100" s="126"/>
      <c r="P100" s="127"/>
      <c r="Q100" s="131">
        <f>SUM(E100:P100)</f>
        <v>0</v>
      </c>
    </row>
    <row r="101" spans="1:17" s="129" customFormat="1" ht="9.75" customHeight="1">
      <c r="A101" s="1385"/>
      <c r="B101" s="1388"/>
      <c r="C101" s="1391"/>
      <c r="D101" s="181" t="s">
        <v>419</v>
      </c>
      <c r="E101" s="138">
        <f>SUM(E98:E100)</f>
        <v>0</v>
      </c>
      <c r="F101" s="137">
        <f aca="true" t="shared" si="19" ref="F101:P101">SUM(F98:F100)</f>
        <v>0</v>
      </c>
      <c r="G101" s="137">
        <f t="shared" si="19"/>
        <v>3715</v>
      </c>
      <c r="H101" s="137">
        <f t="shared" si="19"/>
        <v>0</v>
      </c>
      <c r="I101" s="137">
        <f t="shared" si="19"/>
        <v>0</v>
      </c>
      <c r="J101" s="137">
        <f t="shared" si="19"/>
        <v>0</v>
      </c>
      <c r="K101" s="137">
        <f t="shared" si="19"/>
        <v>0</v>
      </c>
      <c r="L101" s="137">
        <f t="shared" si="19"/>
        <v>0</v>
      </c>
      <c r="M101" s="137">
        <f t="shared" si="19"/>
        <v>0</v>
      </c>
      <c r="N101" s="137">
        <f t="shared" si="19"/>
        <v>0</v>
      </c>
      <c r="O101" s="137">
        <f t="shared" si="19"/>
        <v>0</v>
      </c>
      <c r="P101" s="165">
        <f t="shared" si="19"/>
        <v>0</v>
      </c>
      <c r="Q101" s="139">
        <f>SUM(Q98:Q100)</f>
        <v>3715</v>
      </c>
    </row>
    <row r="102" spans="1:17" s="129" customFormat="1" ht="9.75" customHeight="1">
      <c r="A102" s="1385"/>
      <c r="B102" s="1388"/>
      <c r="C102" s="1393" t="s">
        <v>850</v>
      </c>
      <c r="D102" s="172" t="s">
        <v>888</v>
      </c>
      <c r="E102" s="173" t="s">
        <v>325</v>
      </c>
      <c r="F102" s="146" t="s">
        <v>325</v>
      </c>
      <c r="G102" s="146" t="s">
        <v>325</v>
      </c>
      <c r="H102" s="167" t="s">
        <v>325</v>
      </c>
      <c r="I102" s="167" t="s">
        <v>325</v>
      </c>
      <c r="J102" s="132">
        <v>-1260</v>
      </c>
      <c r="K102" s="167" t="s">
        <v>325</v>
      </c>
      <c r="L102" s="167" t="s">
        <v>325</v>
      </c>
      <c r="M102" s="132"/>
      <c r="N102" s="132"/>
      <c r="O102" s="132"/>
      <c r="P102" s="143"/>
      <c r="Q102" s="131">
        <f>SUM(E102:P102)</f>
        <v>-1260</v>
      </c>
    </row>
    <row r="103" spans="1:17" s="129" customFormat="1" ht="9.75" customHeight="1">
      <c r="A103" s="1385"/>
      <c r="B103" s="1388"/>
      <c r="C103" s="1391"/>
      <c r="D103" s="172" t="s">
        <v>866</v>
      </c>
      <c r="E103" s="187" t="s">
        <v>325</v>
      </c>
      <c r="F103" s="167" t="s">
        <v>325</v>
      </c>
      <c r="G103" s="167" t="s">
        <v>325</v>
      </c>
      <c r="H103" s="167" t="s">
        <v>325</v>
      </c>
      <c r="I103" s="167" t="s">
        <v>325</v>
      </c>
      <c r="J103" s="126">
        <v>900</v>
      </c>
      <c r="K103" s="167" t="s">
        <v>325</v>
      </c>
      <c r="L103" s="167" t="s">
        <v>325</v>
      </c>
      <c r="M103" s="126"/>
      <c r="N103" s="126"/>
      <c r="O103" s="126"/>
      <c r="P103" s="127"/>
      <c r="Q103" s="131">
        <f>SUM(E103:P103)</f>
        <v>900</v>
      </c>
    </row>
    <row r="104" spans="1:17" s="129" customFormat="1" ht="9.75" customHeight="1">
      <c r="A104" s="1385"/>
      <c r="B104" s="1388"/>
      <c r="C104" s="1391"/>
      <c r="D104" s="172" t="s">
        <v>886</v>
      </c>
      <c r="E104" s="187" t="s">
        <v>325</v>
      </c>
      <c r="F104" s="167" t="s">
        <v>325</v>
      </c>
      <c r="G104" s="126">
        <v>-3715</v>
      </c>
      <c r="H104" s="167" t="s">
        <v>325</v>
      </c>
      <c r="I104" s="167" t="s">
        <v>325</v>
      </c>
      <c r="J104" s="126">
        <v>-900</v>
      </c>
      <c r="K104" s="167" t="s">
        <v>325</v>
      </c>
      <c r="L104" s="167" t="s">
        <v>325</v>
      </c>
      <c r="M104" s="126"/>
      <c r="N104" s="126"/>
      <c r="O104" s="126"/>
      <c r="P104" s="127"/>
      <c r="Q104" s="131">
        <f>SUM(E104:P104)</f>
        <v>-4615</v>
      </c>
    </row>
    <row r="105" spans="1:17" s="129" customFormat="1" ht="9.75" customHeight="1">
      <c r="A105" s="1385"/>
      <c r="B105" s="1388"/>
      <c r="C105" s="1391"/>
      <c r="D105" s="172" t="s">
        <v>878</v>
      </c>
      <c r="E105" s="187" t="s">
        <v>325</v>
      </c>
      <c r="F105" s="167" t="s">
        <v>325</v>
      </c>
      <c r="G105" s="167" t="s">
        <v>325</v>
      </c>
      <c r="H105" s="167" t="s">
        <v>325</v>
      </c>
      <c r="I105" s="167" t="s">
        <v>325</v>
      </c>
      <c r="J105" s="126">
        <v>1260</v>
      </c>
      <c r="K105" s="167" t="s">
        <v>325</v>
      </c>
      <c r="L105" s="167" t="s">
        <v>325</v>
      </c>
      <c r="M105" s="126"/>
      <c r="N105" s="126"/>
      <c r="O105" s="126"/>
      <c r="P105" s="127"/>
      <c r="Q105" s="131">
        <f>SUM(E105:P105)</f>
        <v>1260</v>
      </c>
    </row>
    <row r="106" spans="1:17" s="129" customFormat="1" ht="9.75" customHeight="1" thickBot="1">
      <c r="A106" s="1386"/>
      <c r="B106" s="1389"/>
      <c r="C106" s="1394"/>
      <c r="D106" s="177" t="s">
        <v>420</v>
      </c>
      <c r="E106" s="182">
        <f>SUM(E102:E105)</f>
        <v>0</v>
      </c>
      <c r="F106" s="168">
        <f aca="true" t="shared" si="20" ref="F106:Q106">SUM(F102:F105)</f>
        <v>0</v>
      </c>
      <c r="G106" s="168">
        <f t="shared" si="20"/>
        <v>-3715</v>
      </c>
      <c r="H106" s="168">
        <f t="shared" si="20"/>
        <v>0</v>
      </c>
      <c r="I106" s="168">
        <f t="shared" si="20"/>
        <v>0</v>
      </c>
      <c r="J106" s="168">
        <f t="shared" si="20"/>
        <v>0</v>
      </c>
      <c r="K106" s="168">
        <f t="shared" si="20"/>
        <v>0</v>
      </c>
      <c r="L106" s="168">
        <f t="shared" si="20"/>
        <v>0</v>
      </c>
      <c r="M106" s="168">
        <f t="shared" si="20"/>
        <v>0</v>
      </c>
      <c r="N106" s="168">
        <f t="shared" si="20"/>
        <v>0</v>
      </c>
      <c r="O106" s="168">
        <f t="shared" si="20"/>
        <v>0</v>
      </c>
      <c r="P106" s="188">
        <f t="shared" si="20"/>
        <v>0</v>
      </c>
      <c r="Q106" s="183">
        <f t="shared" si="20"/>
        <v>-3715</v>
      </c>
    </row>
    <row r="107" spans="1:17" s="160" customFormat="1" ht="9.75" customHeight="1" thickBot="1">
      <c r="A107" s="152"/>
      <c r="B107" s="153"/>
      <c r="C107" s="154"/>
      <c r="D107" s="178"/>
      <c r="E107" s="179"/>
      <c r="F107" s="157"/>
      <c r="G107" s="157"/>
      <c r="H107" s="189"/>
      <c r="I107" s="157"/>
      <c r="J107" s="157"/>
      <c r="K107" s="157"/>
      <c r="L107" s="157"/>
      <c r="M107" s="157"/>
      <c r="N107" s="157"/>
      <c r="O107" s="157"/>
      <c r="P107" s="158"/>
      <c r="Q107" s="159"/>
    </row>
    <row r="108" spans="1:17" s="129" customFormat="1" ht="9.75" customHeight="1">
      <c r="A108" s="1384">
        <v>7</v>
      </c>
      <c r="B108" s="1387" t="s">
        <v>424</v>
      </c>
      <c r="C108" s="1390" t="s">
        <v>849</v>
      </c>
      <c r="D108" s="171" t="s">
        <v>412</v>
      </c>
      <c r="E108" s="180">
        <v>0</v>
      </c>
      <c r="F108" s="186" t="s">
        <v>325</v>
      </c>
      <c r="G108" s="190">
        <v>0</v>
      </c>
      <c r="H108" s="167" t="s">
        <v>325</v>
      </c>
      <c r="I108" s="162">
        <v>0</v>
      </c>
      <c r="J108" s="190">
        <v>0</v>
      </c>
      <c r="K108" s="190">
        <v>-3500</v>
      </c>
      <c r="L108" s="162">
        <v>-2480</v>
      </c>
      <c r="M108" s="162"/>
      <c r="N108" s="190"/>
      <c r="O108" s="190"/>
      <c r="P108" s="191"/>
      <c r="Q108" s="164">
        <f>SUM(E108:P108)</f>
        <v>-5980</v>
      </c>
    </row>
    <row r="109" spans="1:17" s="129" customFormat="1" ht="9.75" customHeight="1">
      <c r="A109" s="1385"/>
      <c r="B109" s="1388"/>
      <c r="C109" s="1391"/>
      <c r="D109" s="172" t="s">
        <v>413</v>
      </c>
      <c r="E109" s="133">
        <v>0</v>
      </c>
      <c r="F109" s="146" t="s">
        <v>325</v>
      </c>
      <c r="G109" s="132">
        <v>0</v>
      </c>
      <c r="H109" s="146" t="s">
        <v>325</v>
      </c>
      <c r="I109" s="126">
        <v>0</v>
      </c>
      <c r="J109" s="132">
        <v>0</v>
      </c>
      <c r="K109" s="132">
        <v>0</v>
      </c>
      <c r="L109" s="126">
        <v>0</v>
      </c>
      <c r="M109" s="126"/>
      <c r="N109" s="132"/>
      <c r="O109" s="132"/>
      <c r="P109" s="127"/>
      <c r="Q109" s="128">
        <f>SUM(E109:P109)</f>
        <v>0</v>
      </c>
    </row>
    <row r="110" spans="1:17" s="129" customFormat="1" ht="9.75" customHeight="1">
      <c r="A110" s="1385"/>
      <c r="B110" s="1388"/>
      <c r="C110" s="1391"/>
      <c r="D110" s="172" t="s">
        <v>414</v>
      </c>
      <c r="E110" s="133">
        <v>0</v>
      </c>
      <c r="F110" s="146" t="s">
        <v>325</v>
      </c>
      <c r="G110" s="126">
        <v>-11145</v>
      </c>
      <c r="H110" s="146" t="s">
        <v>325</v>
      </c>
      <c r="I110" s="126">
        <v>-15541</v>
      </c>
      <c r="J110" s="126">
        <v>-2100</v>
      </c>
      <c r="K110" s="126">
        <v>-5250</v>
      </c>
      <c r="L110" s="126">
        <v>-15600</v>
      </c>
      <c r="M110" s="126"/>
      <c r="N110" s="126"/>
      <c r="O110" s="126"/>
      <c r="P110" s="127"/>
      <c r="Q110" s="131">
        <f>SUM(E110:P110)</f>
        <v>-49636</v>
      </c>
    </row>
    <row r="111" spans="1:17" s="129" customFormat="1" ht="9.75" customHeight="1">
      <c r="A111" s="1385"/>
      <c r="B111" s="1388"/>
      <c r="C111" s="1391"/>
      <c r="D111" s="181" t="s">
        <v>415</v>
      </c>
      <c r="E111" s="138">
        <f>SUM(E108:E110)</f>
        <v>0</v>
      </c>
      <c r="F111" s="137">
        <f>SUM(F108:F110)</f>
        <v>0</v>
      </c>
      <c r="G111" s="137">
        <f aca="true" t="shared" si="21" ref="G111:P111">SUM(G108:G110)</f>
        <v>-11145</v>
      </c>
      <c r="H111" s="137">
        <f t="shared" si="21"/>
        <v>0</v>
      </c>
      <c r="I111" s="137">
        <f t="shared" si="21"/>
        <v>-15541</v>
      </c>
      <c r="J111" s="136">
        <f t="shared" si="21"/>
        <v>-2100</v>
      </c>
      <c r="K111" s="137">
        <f t="shared" si="21"/>
        <v>-8750</v>
      </c>
      <c r="L111" s="137">
        <f t="shared" si="21"/>
        <v>-18080</v>
      </c>
      <c r="M111" s="137">
        <f t="shared" si="21"/>
        <v>0</v>
      </c>
      <c r="N111" s="137">
        <f t="shared" si="21"/>
        <v>0</v>
      </c>
      <c r="O111" s="137">
        <f t="shared" si="21"/>
        <v>0</v>
      </c>
      <c r="P111" s="165">
        <f t="shared" si="21"/>
        <v>0</v>
      </c>
      <c r="Q111" s="139">
        <f>SUM(Q108:Q110)</f>
        <v>-55616</v>
      </c>
    </row>
    <row r="112" spans="1:17" s="129" customFormat="1" ht="9.75" customHeight="1">
      <c r="A112" s="1385"/>
      <c r="B112" s="1388"/>
      <c r="C112" s="1391"/>
      <c r="D112" s="172" t="s">
        <v>416</v>
      </c>
      <c r="E112" s="133">
        <v>0</v>
      </c>
      <c r="F112" s="146" t="s">
        <v>325</v>
      </c>
      <c r="G112" s="126">
        <v>0</v>
      </c>
      <c r="H112" s="146" t="s">
        <v>325</v>
      </c>
      <c r="I112" s="126">
        <v>0</v>
      </c>
      <c r="J112" s="126">
        <v>0</v>
      </c>
      <c r="K112" s="126">
        <v>0</v>
      </c>
      <c r="L112" s="126">
        <v>0</v>
      </c>
      <c r="M112" s="126"/>
      <c r="N112" s="126"/>
      <c r="O112" s="126"/>
      <c r="P112" s="127"/>
      <c r="Q112" s="131">
        <f>SUM(E112:P112)</f>
        <v>0</v>
      </c>
    </row>
    <row r="113" spans="1:17" s="129" customFormat="1" ht="9.75" customHeight="1">
      <c r="A113" s="1385"/>
      <c r="B113" s="1388"/>
      <c r="C113" s="1391"/>
      <c r="D113" s="172" t="s">
        <v>417</v>
      </c>
      <c r="E113" s="133">
        <v>0</v>
      </c>
      <c r="F113" s="146" t="s">
        <v>325</v>
      </c>
      <c r="G113" s="126">
        <v>0</v>
      </c>
      <c r="H113" s="146" t="s">
        <v>325</v>
      </c>
      <c r="I113" s="126">
        <v>0</v>
      </c>
      <c r="J113" s="126">
        <v>0</v>
      </c>
      <c r="K113" s="126">
        <v>0</v>
      </c>
      <c r="L113" s="126">
        <v>0</v>
      </c>
      <c r="M113" s="126"/>
      <c r="N113" s="126"/>
      <c r="O113" s="126"/>
      <c r="P113" s="127"/>
      <c r="Q113" s="131">
        <f>SUM(E113:P113)</f>
        <v>0</v>
      </c>
    </row>
    <row r="114" spans="1:17" s="129" customFormat="1" ht="9.75" customHeight="1">
      <c r="A114" s="1385"/>
      <c r="B114" s="1388"/>
      <c r="C114" s="1391"/>
      <c r="D114" s="172" t="s">
        <v>418</v>
      </c>
      <c r="E114" s="133">
        <v>0</v>
      </c>
      <c r="F114" s="146" t="s">
        <v>325</v>
      </c>
      <c r="G114" s="126">
        <v>0</v>
      </c>
      <c r="H114" s="146" t="s">
        <v>325</v>
      </c>
      <c r="I114" s="126">
        <v>0</v>
      </c>
      <c r="J114" s="126">
        <v>0</v>
      </c>
      <c r="K114" s="126">
        <v>0</v>
      </c>
      <c r="L114" s="126">
        <v>0</v>
      </c>
      <c r="M114" s="126"/>
      <c r="N114" s="126"/>
      <c r="O114" s="126"/>
      <c r="P114" s="127"/>
      <c r="Q114" s="131">
        <f>SUM(E114:P114)</f>
        <v>0</v>
      </c>
    </row>
    <row r="115" spans="1:17" s="129" customFormat="1" ht="9.75" customHeight="1">
      <c r="A115" s="1385"/>
      <c r="B115" s="1388"/>
      <c r="C115" s="1392"/>
      <c r="D115" s="181" t="s">
        <v>419</v>
      </c>
      <c r="E115" s="138">
        <f>SUM(E112:E114)</f>
        <v>0</v>
      </c>
      <c r="F115" s="137">
        <f aca="true" t="shared" si="22" ref="F115:P115">SUM(F112:F114)</f>
        <v>0</v>
      </c>
      <c r="G115" s="137">
        <f t="shared" si="22"/>
        <v>0</v>
      </c>
      <c r="H115" s="137">
        <f t="shared" si="22"/>
        <v>0</v>
      </c>
      <c r="I115" s="137">
        <f t="shared" si="22"/>
        <v>0</v>
      </c>
      <c r="J115" s="137">
        <f t="shared" si="22"/>
        <v>0</v>
      </c>
      <c r="K115" s="137">
        <f t="shared" si="22"/>
        <v>0</v>
      </c>
      <c r="L115" s="137">
        <f t="shared" si="22"/>
        <v>0</v>
      </c>
      <c r="M115" s="137">
        <f t="shared" si="22"/>
        <v>0</v>
      </c>
      <c r="N115" s="137">
        <f t="shared" si="22"/>
        <v>0</v>
      </c>
      <c r="O115" s="137">
        <f t="shared" si="22"/>
        <v>0</v>
      </c>
      <c r="P115" s="165">
        <f t="shared" si="22"/>
        <v>0</v>
      </c>
      <c r="Q115" s="139">
        <f>SUM(Q112:Q114)</f>
        <v>0</v>
      </c>
    </row>
    <row r="116" spans="1:17" s="129" customFormat="1" ht="9.75" customHeight="1">
      <c r="A116" s="1385"/>
      <c r="B116" s="1388"/>
      <c r="C116" s="1393" t="s">
        <v>850</v>
      </c>
      <c r="D116" s="172" t="s">
        <v>865</v>
      </c>
      <c r="E116" s="142">
        <v>37200</v>
      </c>
      <c r="F116" s="146" t="s">
        <v>325</v>
      </c>
      <c r="G116" s="132">
        <v>11145</v>
      </c>
      <c r="H116" s="146" t="s">
        <v>325</v>
      </c>
      <c r="I116" s="132">
        <v>15541</v>
      </c>
      <c r="J116" s="146" t="s">
        <v>325</v>
      </c>
      <c r="K116" s="132">
        <v>12250</v>
      </c>
      <c r="L116" s="132">
        <v>39688</v>
      </c>
      <c r="M116" s="132"/>
      <c r="N116" s="132"/>
      <c r="O116" s="132"/>
      <c r="P116" s="143"/>
      <c r="Q116" s="131">
        <f>SUM(E116:P116)</f>
        <v>115824</v>
      </c>
    </row>
    <row r="117" spans="1:17" s="129" customFormat="1" ht="9.75" customHeight="1">
      <c r="A117" s="1385"/>
      <c r="B117" s="1388"/>
      <c r="C117" s="1391"/>
      <c r="D117" s="172" t="s">
        <v>866</v>
      </c>
      <c r="E117" s="173" t="s">
        <v>325</v>
      </c>
      <c r="F117" s="146" t="s">
        <v>325</v>
      </c>
      <c r="G117" s="146" t="s">
        <v>325</v>
      </c>
      <c r="H117" s="146" t="s">
        <v>325</v>
      </c>
      <c r="I117" s="146" t="s">
        <v>325</v>
      </c>
      <c r="J117" s="126">
        <v>2100</v>
      </c>
      <c r="K117" s="146" t="s">
        <v>325</v>
      </c>
      <c r="L117" s="146" t="s">
        <v>325</v>
      </c>
      <c r="M117" s="126"/>
      <c r="N117" s="126"/>
      <c r="O117" s="126"/>
      <c r="P117" s="127"/>
      <c r="Q117" s="131">
        <f>SUM(E117:P117)</f>
        <v>2100</v>
      </c>
    </row>
    <row r="118" spans="1:17" s="129" customFormat="1" ht="9.75" customHeight="1">
      <c r="A118" s="1385"/>
      <c r="B118" s="1388"/>
      <c r="C118" s="1391"/>
      <c r="D118" s="172" t="s">
        <v>890</v>
      </c>
      <c r="E118" s="173" t="s">
        <v>325</v>
      </c>
      <c r="F118" s="146" t="s">
        <v>325</v>
      </c>
      <c r="G118" s="146" t="s">
        <v>325</v>
      </c>
      <c r="H118" s="146" t="s">
        <v>325</v>
      </c>
      <c r="I118" s="146" t="s">
        <v>325</v>
      </c>
      <c r="J118" s="146" t="s">
        <v>325</v>
      </c>
      <c r="K118" s="126">
        <v>-3500</v>
      </c>
      <c r="L118" s="126">
        <v>-21608</v>
      </c>
      <c r="M118" s="126"/>
      <c r="N118" s="126"/>
      <c r="O118" s="126"/>
      <c r="P118" s="127"/>
      <c r="Q118" s="131">
        <f>SUM(E118:P118)</f>
        <v>-25108</v>
      </c>
    </row>
    <row r="119" spans="1:17" s="129" customFormat="1" ht="9.75" customHeight="1">
      <c r="A119" s="1385"/>
      <c r="B119" s="1388"/>
      <c r="C119" s="1391"/>
      <c r="D119" s="172" t="s">
        <v>886</v>
      </c>
      <c r="E119" s="133">
        <v>-37200</v>
      </c>
      <c r="F119" s="146" t="s">
        <v>325</v>
      </c>
      <c r="G119" s="146" t="s">
        <v>325</v>
      </c>
      <c r="H119" s="146" t="s">
        <v>325</v>
      </c>
      <c r="I119" s="146" t="s">
        <v>325</v>
      </c>
      <c r="J119" s="146" t="s">
        <v>325</v>
      </c>
      <c r="K119" s="146" t="s">
        <v>325</v>
      </c>
      <c r="L119" s="146" t="s">
        <v>325</v>
      </c>
      <c r="M119" s="126"/>
      <c r="N119" s="126"/>
      <c r="O119" s="126"/>
      <c r="P119" s="127"/>
      <c r="Q119" s="131">
        <f>SUM(E119:P119)</f>
        <v>-37200</v>
      </c>
    </row>
    <row r="120" spans="1:17" s="129" customFormat="1" ht="9.75" customHeight="1" thickBot="1">
      <c r="A120" s="1386"/>
      <c r="B120" s="1389"/>
      <c r="C120" s="1394"/>
      <c r="D120" s="177" t="s">
        <v>420</v>
      </c>
      <c r="E120" s="182">
        <f>SUM(E116:E119)</f>
        <v>0</v>
      </c>
      <c r="F120" s="168">
        <f aca="true" t="shared" si="23" ref="F120:P120">SUM(F116:F119)</f>
        <v>0</v>
      </c>
      <c r="G120" s="168">
        <f t="shared" si="23"/>
        <v>11145</v>
      </c>
      <c r="H120" s="168">
        <f t="shared" si="23"/>
        <v>0</v>
      </c>
      <c r="I120" s="168">
        <f t="shared" si="23"/>
        <v>15541</v>
      </c>
      <c r="J120" s="168">
        <f>SUM(J116:J119)</f>
        <v>2100</v>
      </c>
      <c r="K120" s="168">
        <f t="shared" si="23"/>
        <v>8750</v>
      </c>
      <c r="L120" s="168">
        <f t="shared" si="23"/>
        <v>18080</v>
      </c>
      <c r="M120" s="168">
        <f t="shared" si="23"/>
        <v>0</v>
      </c>
      <c r="N120" s="168">
        <f t="shared" si="23"/>
        <v>0</v>
      </c>
      <c r="O120" s="168">
        <f t="shared" si="23"/>
        <v>0</v>
      </c>
      <c r="P120" s="188">
        <f t="shared" si="23"/>
        <v>0</v>
      </c>
      <c r="Q120" s="183">
        <f>SUM(Q116:Q119)</f>
        <v>55616</v>
      </c>
    </row>
    <row r="121" spans="1:17" s="160" customFormat="1" ht="9.75" customHeight="1" thickBot="1">
      <c r="A121" s="152"/>
      <c r="B121" s="153"/>
      <c r="C121" s="154"/>
      <c r="D121" s="178"/>
      <c r="E121" s="179"/>
      <c r="F121" s="157"/>
      <c r="G121" s="157"/>
      <c r="H121" s="189"/>
      <c r="I121" s="157"/>
      <c r="J121" s="157"/>
      <c r="K121" s="157"/>
      <c r="L121" s="157"/>
      <c r="M121" s="157"/>
      <c r="N121" s="157"/>
      <c r="O121" s="157"/>
      <c r="P121" s="158"/>
      <c r="Q121" s="159"/>
    </row>
    <row r="122" spans="1:17" s="129" customFormat="1" ht="9.75" customHeight="1">
      <c r="A122" s="1384">
        <v>8</v>
      </c>
      <c r="B122" s="1387" t="s">
        <v>131</v>
      </c>
      <c r="C122" s="1390" t="s">
        <v>849</v>
      </c>
      <c r="D122" s="171" t="s">
        <v>412</v>
      </c>
      <c r="E122" s="186" t="s">
        <v>325</v>
      </c>
      <c r="F122" s="186" t="s">
        <v>325</v>
      </c>
      <c r="G122" s="186" t="s">
        <v>325</v>
      </c>
      <c r="H122" s="186" t="s">
        <v>325</v>
      </c>
      <c r="I122" s="186" t="s">
        <v>325</v>
      </c>
      <c r="J122" s="186" t="s">
        <v>325</v>
      </c>
      <c r="K122" s="186" t="s">
        <v>325</v>
      </c>
      <c r="L122" s="162">
        <v>0</v>
      </c>
      <c r="M122" s="162"/>
      <c r="N122" s="190"/>
      <c r="O122" s="190"/>
      <c r="P122" s="191"/>
      <c r="Q122" s="164">
        <f>SUM(E122:P122)</f>
        <v>0</v>
      </c>
    </row>
    <row r="123" spans="1:17" s="129" customFormat="1" ht="9.75" customHeight="1">
      <c r="A123" s="1385"/>
      <c r="B123" s="1388"/>
      <c r="C123" s="1391"/>
      <c r="D123" s="172" t="s">
        <v>413</v>
      </c>
      <c r="E123" s="146" t="s">
        <v>325</v>
      </c>
      <c r="F123" s="146" t="s">
        <v>325</v>
      </c>
      <c r="G123" s="146" t="s">
        <v>325</v>
      </c>
      <c r="H123" s="146" t="s">
        <v>325</v>
      </c>
      <c r="I123" s="146" t="s">
        <v>325</v>
      </c>
      <c r="J123" s="146" t="s">
        <v>325</v>
      </c>
      <c r="K123" s="146" t="s">
        <v>325</v>
      </c>
      <c r="L123" s="126">
        <v>-3720</v>
      </c>
      <c r="M123" s="126"/>
      <c r="N123" s="132"/>
      <c r="O123" s="132"/>
      <c r="P123" s="127"/>
      <c r="Q123" s="128">
        <f>SUM(E123:P123)</f>
        <v>-3720</v>
      </c>
    </row>
    <row r="124" spans="1:17" s="129" customFormat="1" ht="9.75" customHeight="1">
      <c r="A124" s="1385"/>
      <c r="B124" s="1388"/>
      <c r="C124" s="1391"/>
      <c r="D124" s="172" t="s">
        <v>414</v>
      </c>
      <c r="E124" s="146" t="s">
        <v>325</v>
      </c>
      <c r="F124" s="146" t="s">
        <v>325</v>
      </c>
      <c r="G124" s="146" t="s">
        <v>325</v>
      </c>
      <c r="H124" s="146" t="s">
        <v>325</v>
      </c>
      <c r="I124" s="146" t="s">
        <v>325</v>
      </c>
      <c r="J124" s="146" t="s">
        <v>325</v>
      </c>
      <c r="K124" s="146" t="s">
        <v>325</v>
      </c>
      <c r="L124" s="126">
        <v>0</v>
      </c>
      <c r="M124" s="126"/>
      <c r="N124" s="126"/>
      <c r="O124" s="126"/>
      <c r="P124" s="127"/>
      <c r="Q124" s="131">
        <f>SUM(E124:P124)</f>
        <v>0</v>
      </c>
    </row>
    <row r="125" spans="1:17" s="129" customFormat="1" ht="9.75" customHeight="1">
      <c r="A125" s="1385"/>
      <c r="B125" s="1388"/>
      <c r="C125" s="1391"/>
      <c r="D125" s="181" t="s">
        <v>415</v>
      </c>
      <c r="E125" s="192">
        <f>SUM(E122:E124)</f>
        <v>0</v>
      </c>
      <c r="F125" s="193">
        <f>SUM(F122:F124)</f>
        <v>0</v>
      </c>
      <c r="G125" s="193">
        <f aca="true" t="shared" si="24" ref="G125:P125">SUM(G122:G124)</f>
        <v>0</v>
      </c>
      <c r="H125" s="136">
        <f t="shared" si="24"/>
        <v>0</v>
      </c>
      <c r="I125" s="193">
        <f t="shared" si="24"/>
        <v>0</v>
      </c>
      <c r="J125" s="194">
        <f t="shared" si="24"/>
        <v>0</v>
      </c>
      <c r="K125" s="136">
        <f t="shared" si="24"/>
        <v>0</v>
      </c>
      <c r="L125" s="137">
        <f t="shared" si="24"/>
        <v>-3720</v>
      </c>
      <c r="M125" s="137">
        <f t="shared" si="24"/>
        <v>0</v>
      </c>
      <c r="N125" s="137">
        <f t="shared" si="24"/>
        <v>0</v>
      </c>
      <c r="O125" s="137">
        <f t="shared" si="24"/>
        <v>0</v>
      </c>
      <c r="P125" s="165">
        <f t="shared" si="24"/>
        <v>0</v>
      </c>
      <c r="Q125" s="139">
        <f>SUM(Q122:Q124)</f>
        <v>-3720</v>
      </c>
    </row>
    <row r="126" spans="1:17" s="129" customFormat="1" ht="9.75" customHeight="1">
      <c r="A126" s="1385"/>
      <c r="B126" s="1388"/>
      <c r="C126" s="1391"/>
      <c r="D126" s="172" t="s">
        <v>416</v>
      </c>
      <c r="E126" s="145" t="s">
        <v>325</v>
      </c>
      <c r="F126" s="146" t="s">
        <v>325</v>
      </c>
      <c r="G126" s="146" t="s">
        <v>325</v>
      </c>
      <c r="H126" s="167" t="s">
        <v>325</v>
      </c>
      <c r="I126" s="146" t="s">
        <v>325</v>
      </c>
      <c r="J126" s="146" t="s">
        <v>325</v>
      </c>
      <c r="K126" s="167" t="s">
        <v>325</v>
      </c>
      <c r="L126" s="126">
        <v>0</v>
      </c>
      <c r="M126" s="126"/>
      <c r="N126" s="126"/>
      <c r="O126" s="126"/>
      <c r="P126" s="127"/>
      <c r="Q126" s="131">
        <f>SUM(E126:P126)</f>
        <v>0</v>
      </c>
    </row>
    <row r="127" spans="1:17" s="129" customFormat="1" ht="9.75" customHeight="1">
      <c r="A127" s="1385"/>
      <c r="B127" s="1388"/>
      <c r="C127" s="1391"/>
      <c r="D127" s="172" t="s">
        <v>417</v>
      </c>
      <c r="E127" s="146" t="s">
        <v>325</v>
      </c>
      <c r="F127" s="146" t="s">
        <v>325</v>
      </c>
      <c r="G127" s="146" t="s">
        <v>325</v>
      </c>
      <c r="H127" s="146" t="s">
        <v>325</v>
      </c>
      <c r="I127" s="146" t="s">
        <v>325</v>
      </c>
      <c r="J127" s="146" t="s">
        <v>325</v>
      </c>
      <c r="K127" s="146" t="s">
        <v>325</v>
      </c>
      <c r="L127" s="126">
        <v>0</v>
      </c>
      <c r="M127" s="126"/>
      <c r="N127" s="126"/>
      <c r="O127" s="126"/>
      <c r="P127" s="127"/>
      <c r="Q127" s="131">
        <f>SUM(E127:P127)</f>
        <v>0</v>
      </c>
    </row>
    <row r="128" spans="1:17" s="129" customFormat="1" ht="9.75" customHeight="1">
      <c r="A128" s="1385"/>
      <c r="B128" s="1388"/>
      <c r="C128" s="1391"/>
      <c r="D128" s="172" t="s">
        <v>418</v>
      </c>
      <c r="E128" s="146" t="s">
        <v>325</v>
      </c>
      <c r="F128" s="146" t="s">
        <v>325</v>
      </c>
      <c r="G128" s="146" t="s">
        <v>325</v>
      </c>
      <c r="H128" s="146" t="s">
        <v>325</v>
      </c>
      <c r="I128" s="146" t="s">
        <v>325</v>
      </c>
      <c r="J128" s="146" t="s">
        <v>325</v>
      </c>
      <c r="K128" s="146" t="s">
        <v>325</v>
      </c>
      <c r="L128" s="126">
        <v>0</v>
      </c>
      <c r="M128" s="126"/>
      <c r="N128" s="126"/>
      <c r="O128" s="126"/>
      <c r="P128" s="127"/>
      <c r="Q128" s="131">
        <f>SUM(E128:P128)</f>
        <v>0</v>
      </c>
    </row>
    <row r="129" spans="1:17" s="129" customFormat="1" ht="9.75" customHeight="1">
      <c r="A129" s="1385"/>
      <c r="B129" s="1388"/>
      <c r="C129" s="1392"/>
      <c r="D129" s="181" t="s">
        <v>419</v>
      </c>
      <c r="E129" s="140">
        <f>SUM(E126:E128)</f>
        <v>0</v>
      </c>
      <c r="F129" s="193">
        <f aca="true" t="shared" si="25" ref="F129:P129">SUM(F126:F128)</f>
        <v>0</v>
      </c>
      <c r="G129" s="193">
        <f t="shared" si="25"/>
        <v>0</v>
      </c>
      <c r="H129" s="193">
        <f t="shared" si="25"/>
        <v>0</v>
      </c>
      <c r="I129" s="193">
        <f t="shared" si="25"/>
        <v>0</v>
      </c>
      <c r="J129" s="136">
        <f t="shared" si="25"/>
        <v>0</v>
      </c>
      <c r="K129" s="193">
        <f t="shared" si="25"/>
        <v>0</v>
      </c>
      <c r="L129" s="137">
        <f t="shared" si="25"/>
        <v>0</v>
      </c>
      <c r="M129" s="137">
        <f t="shared" si="25"/>
        <v>0</v>
      </c>
      <c r="N129" s="137">
        <f t="shared" si="25"/>
        <v>0</v>
      </c>
      <c r="O129" s="137">
        <f t="shared" si="25"/>
        <v>0</v>
      </c>
      <c r="P129" s="165">
        <f t="shared" si="25"/>
        <v>0</v>
      </c>
      <c r="Q129" s="139">
        <f>SUM(Q126:Q128)</f>
        <v>0</v>
      </c>
    </row>
    <row r="130" spans="1:17" s="129" customFormat="1" ht="9.75" customHeight="1">
      <c r="A130" s="1385"/>
      <c r="B130" s="1388"/>
      <c r="C130" s="1393" t="s">
        <v>850</v>
      </c>
      <c r="D130" s="172" t="s">
        <v>865</v>
      </c>
      <c r="E130" s="167" t="s">
        <v>325</v>
      </c>
      <c r="F130" s="146" t="s">
        <v>325</v>
      </c>
      <c r="G130" s="146" t="s">
        <v>325</v>
      </c>
      <c r="H130" s="146" t="s">
        <v>325</v>
      </c>
      <c r="I130" s="146" t="s">
        <v>325</v>
      </c>
      <c r="J130" s="167" t="s">
        <v>325</v>
      </c>
      <c r="K130" s="146" t="s">
        <v>325</v>
      </c>
      <c r="L130" s="132">
        <v>7000</v>
      </c>
      <c r="M130" s="132"/>
      <c r="N130" s="132"/>
      <c r="O130" s="132"/>
      <c r="P130" s="143"/>
      <c r="Q130" s="131">
        <f>SUM(E130:P130)</f>
        <v>7000</v>
      </c>
    </row>
    <row r="131" spans="1:17" s="129" customFormat="1" ht="9.75" customHeight="1">
      <c r="A131" s="1385"/>
      <c r="B131" s="1388"/>
      <c r="C131" s="1391"/>
      <c r="D131" s="172" t="s">
        <v>886</v>
      </c>
      <c r="E131" s="146" t="s">
        <v>325</v>
      </c>
      <c r="F131" s="146" t="s">
        <v>325</v>
      </c>
      <c r="G131" s="146" t="s">
        <v>325</v>
      </c>
      <c r="H131" s="146" t="s">
        <v>325</v>
      </c>
      <c r="I131" s="146" t="s">
        <v>325</v>
      </c>
      <c r="J131" s="146" t="s">
        <v>325</v>
      </c>
      <c r="K131" s="146" t="s">
        <v>325</v>
      </c>
      <c r="L131" s="126">
        <v>-3280</v>
      </c>
      <c r="M131" s="126"/>
      <c r="N131" s="126"/>
      <c r="O131" s="126"/>
      <c r="P131" s="127"/>
      <c r="Q131" s="131">
        <f>SUM(E131:P131)</f>
        <v>-3280</v>
      </c>
    </row>
    <row r="132" spans="1:17" s="129" customFormat="1" ht="9.75" customHeight="1" thickBot="1">
      <c r="A132" s="1386"/>
      <c r="B132" s="1389"/>
      <c r="C132" s="1394"/>
      <c r="D132" s="177" t="s">
        <v>420</v>
      </c>
      <c r="E132" s="182">
        <f aca="true" t="shared" si="26" ref="E132:Q132">SUM(E130:E131)</f>
        <v>0</v>
      </c>
      <c r="F132" s="168">
        <f t="shared" si="26"/>
        <v>0</v>
      </c>
      <c r="G132" s="168">
        <f t="shared" si="26"/>
        <v>0</v>
      </c>
      <c r="H132" s="168">
        <f t="shared" si="26"/>
        <v>0</v>
      </c>
      <c r="I132" s="168">
        <f t="shared" si="26"/>
        <v>0</v>
      </c>
      <c r="J132" s="168">
        <f t="shared" si="26"/>
        <v>0</v>
      </c>
      <c r="K132" s="168">
        <f t="shared" si="26"/>
        <v>0</v>
      </c>
      <c r="L132" s="168">
        <f t="shared" si="26"/>
        <v>3720</v>
      </c>
      <c r="M132" s="168">
        <f t="shared" si="26"/>
        <v>0</v>
      </c>
      <c r="N132" s="168">
        <f t="shared" si="26"/>
        <v>0</v>
      </c>
      <c r="O132" s="168">
        <f t="shared" si="26"/>
        <v>0</v>
      </c>
      <c r="P132" s="188">
        <f t="shared" si="26"/>
        <v>0</v>
      </c>
      <c r="Q132" s="183">
        <f t="shared" si="26"/>
        <v>3720</v>
      </c>
    </row>
    <row r="133" spans="1:17" s="160" customFormat="1" ht="9.75" customHeight="1" thickBot="1">
      <c r="A133" s="152"/>
      <c r="B133" s="153"/>
      <c r="C133" s="154"/>
      <c r="D133" s="178"/>
      <c r="E133" s="179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8"/>
      <c r="Q133" s="159"/>
    </row>
    <row r="134" spans="1:17" s="129" customFormat="1" ht="9.75" customHeight="1">
      <c r="A134" s="1384">
        <v>9</v>
      </c>
      <c r="B134" s="1387" t="s">
        <v>425</v>
      </c>
      <c r="C134" s="1390" t="s">
        <v>849</v>
      </c>
      <c r="D134" s="171" t="s">
        <v>412</v>
      </c>
      <c r="E134" s="180">
        <v>0</v>
      </c>
      <c r="F134" s="162">
        <v>0</v>
      </c>
      <c r="G134" s="162">
        <v>0</v>
      </c>
      <c r="H134" s="162">
        <v>0</v>
      </c>
      <c r="I134" s="162">
        <v>0</v>
      </c>
      <c r="J134" s="162">
        <v>0</v>
      </c>
      <c r="K134" s="162">
        <v>0</v>
      </c>
      <c r="L134" s="162">
        <v>0</v>
      </c>
      <c r="M134" s="162"/>
      <c r="N134" s="162"/>
      <c r="O134" s="162"/>
      <c r="P134" s="163"/>
      <c r="Q134" s="164">
        <f>SUM(E134:P134)</f>
        <v>0</v>
      </c>
    </row>
    <row r="135" spans="1:17" s="129" customFormat="1" ht="9.75" customHeight="1">
      <c r="A135" s="1385"/>
      <c r="B135" s="1388"/>
      <c r="C135" s="1391"/>
      <c r="D135" s="172" t="s">
        <v>413</v>
      </c>
      <c r="E135" s="133">
        <v>-1900</v>
      </c>
      <c r="F135" s="126">
        <v>-133</v>
      </c>
      <c r="G135" s="126">
        <v>-936</v>
      </c>
      <c r="H135" s="195">
        <v>-72</v>
      </c>
      <c r="I135" s="126">
        <v>0</v>
      </c>
      <c r="J135" s="126">
        <v>-2309</v>
      </c>
      <c r="K135" s="126">
        <v>-479</v>
      </c>
      <c r="L135" s="126">
        <v>-161</v>
      </c>
      <c r="M135" s="126"/>
      <c r="N135" s="126"/>
      <c r="O135" s="126"/>
      <c r="P135" s="127"/>
      <c r="Q135" s="128">
        <f>SUM(E135:P135)</f>
        <v>-5990</v>
      </c>
    </row>
    <row r="136" spans="1:17" s="129" customFormat="1" ht="9.75" customHeight="1">
      <c r="A136" s="1385"/>
      <c r="B136" s="1388"/>
      <c r="C136" s="1391"/>
      <c r="D136" s="172" t="s">
        <v>414</v>
      </c>
      <c r="E136" s="133">
        <v>0</v>
      </c>
      <c r="F136" s="126">
        <v>0</v>
      </c>
      <c r="G136" s="126">
        <v>0</v>
      </c>
      <c r="H136" s="132">
        <v>0</v>
      </c>
      <c r="I136" s="126">
        <v>0</v>
      </c>
      <c r="J136" s="126">
        <v>-4096</v>
      </c>
      <c r="K136" s="126">
        <v>0</v>
      </c>
      <c r="L136" s="126">
        <v>0</v>
      </c>
      <c r="M136" s="126"/>
      <c r="N136" s="126"/>
      <c r="O136" s="126"/>
      <c r="P136" s="127"/>
      <c r="Q136" s="131">
        <f>SUM(E136:P136)</f>
        <v>-4096</v>
      </c>
    </row>
    <row r="137" spans="1:17" s="129" customFormat="1" ht="9.75" customHeight="1">
      <c r="A137" s="1385"/>
      <c r="B137" s="1388"/>
      <c r="C137" s="1391"/>
      <c r="D137" s="181" t="s">
        <v>415</v>
      </c>
      <c r="E137" s="138">
        <f>SUM(E134:E136)</f>
        <v>-1900</v>
      </c>
      <c r="F137" s="137">
        <f>SUM(F134:F136)</f>
        <v>-133</v>
      </c>
      <c r="G137" s="137">
        <f>SUM(G134:G136)</f>
        <v>-936</v>
      </c>
      <c r="H137" s="137">
        <f aca="true" t="shared" si="27" ref="H137:P137">SUM(H134:H136)</f>
        <v>-72</v>
      </c>
      <c r="I137" s="137">
        <f t="shared" si="27"/>
        <v>0</v>
      </c>
      <c r="J137" s="137">
        <f>SUM(J134:J136)</f>
        <v>-6405</v>
      </c>
      <c r="K137" s="137">
        <f t="shared" si="27"/>
        <v>-479</v>
      </c>
      <c r="L137" s="137">
        <f t="shared" si="27"/>
        <v>-161</v>
      </c>
      <c r="M137" s="137">
        <f t="shared" si="27"/>
        <v>0</v>
      </c>
      <c r="N137" s="137">
        <f t="shared" si="27"/>
        <v>0</v>
      </c>
      <c r="O137" s="137">
        <f t="shared" si="27"/>
        <v>0</v>
      </c>
      <c r="P137" s="137">
        <f t="shared" si="27"/>
        <v>0</v>
      </c>
      <c r="Q137" s="139">
        <f>SUM(Q134:Q136)</f>
        <v>-10086</v>
      </c>
    </row>
    <row r="138" spans="1:17" s="129" customFormat="1" ht="9.75" customHeight="1">
      <c r="A138" s="1385"/>
      <c r="B138" s="1388"/>
      <c r="C138" s="1391"/>
      <c r="D138" s="172" t="s">
        <v>416</v>
      </c>
      <c r="E138" s="133">
        <v>0</v>
      </c>
      <c r="F138" s="126">
        <v>0</v>
      </c>
      <c r="G138" s="126">
        <v>0</v>
      </c>
      <c r="H138" s="132">
        <v>2400</v>
      </c>
      <c r="I138" s="126">
        <v>0</v>
      </c>
      <c r="J138" s="126">
        <v>1200</v>
      </c>
      <c r="K138" s="126">
        <v>0</v>
      </c>
      <c r="L138" s="126">
        <v>0</v>
      </c>
      <c r="M138" s="126"/>
      <c r="N138" s="126"/>
      <c r="O138" s="126"/>
      <c r="P138" s="127"/>
      <c r="Q138" s="131">
        <f>SUM(E138:P138)</f>
        <v>3600</v>
      </c>
    </row>
    <row r="139" spans="1:17" s="129" customFormat="1" ht="9.75" customHeight="1">
      <c r="A139" s="1385"/>
      <c r="B139" s="1388"/>
      <c r="C139" s="1391"/>
      <c r="D139" s="172" t="s">
        <v>417</v>
      </c>
      <c r="E139" s="133">
        <v>0</v>
      </c>
      <c r="F139" s="126">
        <v>0</v>
      </c>
      <c r="G139" s="126">
        <v>0</v>
      </c>
      <c r="H139" s="126">
        <v>0</v>
      </c>
      <c r="I139" s="126">
        <v>0</v>
      </c>
      <c r="J139" s="126">
        <v>0</v>
      </c>
      <c r="K139" s="126">
        <v>0</v>
      </c>
      <c r="L139" s="126">
        <v>0</v>
      </c>
      <c r="M139" s="126"/>
      <c r="N139" s="126"/>
      <c r="O139" s="126"/>
      <c r="P139" s="127"/>
      <c r="Q139" s="131">
        <f>SUM(E139:P139)</f>
        <v>0</v>
      </c>
    </row>
    <row r="140" spans="1:17" s="129" customFormat="1" ht="9.75" customHeight="1">
      <c r="A140" s="1385"/>
      <c r="B140" s="1388"/>
      <c r="C140" s="1391"/>
      <c r="D140" s="172" t="s">
        <v>418</v>
      </c>
      <c r="E140" s="133">
        <v>0</v>
      </c>
      <c r="F140" s="126">
        <v>0</v>
      </c>
      <c r="G140" s="126">
        <v>0</v>
      </c>
      <c r="H140" s="126">
        <v>2480</v>
      </c>
      <c r="I140" s="126">
        <v>0</v>
      </c>
      <c r="J140" s="126">
        <v>16440</v>
      </c>
      <c r="K140" s="126">
        <v>0</v>
      </c>
      <c r="L140" s="126">
        <v>0</v>
      </c>
      <c r="M140" s="126"/>
      <c r="N140" s="126"/>
      <c r="O140" s="126"/>
      <c r="P140" s="127"/>
      <c r="Q140" s="131">
        <f>SUM(E140:P140)</f>
        <v>18920</v>
      </c>
    </row>
    <row r="141" spans="1:17" s="129" customFormat="1" ht="9.75" customHeight="1">
      <c r="A141" s="1385"/>
      <c r="B141" s="1388"/>
      <c r="C141" s="1392"/>
      <c r="D141" s="181" t="s">
        <v>419</v>
      </c>
      <c r="E141" s="138">
        <f>SUM(E138:E140)</f>
        <v>0</v>
      </c>
      <c r="F141" s="137">
        <f>SUM(F138:F140)</f>
        <v>0</v>
      </c>
      <c r="G141" s="137">
        <f aca="true" t="shared" si="28" ref="G141:P141">SUM(G138:G140)</f>
        <v>0</v>
      </c>
      <c r="H141" s="137">
        <f>SUM(H138:H140)</f>
        <v>4880</v>
      </c>
      <c r="I141" s="137">
        <f t="shared" si="28"/>
        <v>0</v>
      </c>
      <c r="J141" s="137">
        <f>SUM(J138:J140)</f>
        <v>17640</v>
      </c>
      <c r="K141" s="137">
        <f t="shared" si="28"/>
        <v>0</v>
      </c>
      <c r="L141" s="137">
        <f t="shared" si="28"/>
        <v>0</v>
      </c>
      <c r="M141" s="137">
        <f t="shared" si="28"/>
        <v>0</v>
      </c>
      <c r="N141" s="137">
        <f t="shared" si="28"/>
        <v>0</v>
      </c>
      <c r="O141" s="137">
        <f t="shared" si="28"/>
        <v>0</v>
      </c>
      <c r="P141" s="165">
        <f t="shared" si="28"/>
        <v>0</v>
      </c>
      <c r="Q141" s="139">
        <f>SUM(Q138:Q140)</f>
        <v>22520</v>
      </c>
    </row>
    <row r="142" spans="1:17" s="129" customFormat="1" ht="9.75" customHeight="1">
      <c r="A142" s="1385"/>
      <c r="B142" s="1388"/>
      <c r="C142" s="1391" t="s">
        <v>850</v>
      </c>
      <c r="D142" s="172" t="s">
        <v>891</v>
      </c>
      <c r="E142" s="133">
        <v>-4450</v>
      </c>
      <c r="F142" s="126">
        <v>-6041</v>
      </c>
      <c r="G142" s="126">
        <v>-8000</v>
      </c>
      <c r="H142" s="126">
        <v>-6443</v>
      </c>
      <c r="I142" s="126">
        <v>-6883</v>
      </c>
      <c r="J142" s="126">
        <v>-6922</v>
      </c>
      <c r="K142" s="126">
        <v>-6658</v>
      </c>
      <c r="L142" s="126">
        <v>6733</v>
      </c>
      <c r="M142" s="126"/>
      <c r="N142" s="126"/>
      <c r="O142" s="126"/>
      <c r="P142" s="127"/>
      <c r="Q142" s="131">
        <f>SUM(E142:P142)</f>
        <v>-38664</v>
      </c>
    </row>
    <row r="143" spans="1:17" s="129" customFormat="1" ht="9.75" customHeight="1">
      <c r="A143" s="1385"/>
      <c r="B143" s="1388"/>
      <c r="C143" s="1391"/>
      <c r="D143" s="172" t="s">
        <v>879</v>
      </c>
      <c r="E143" s="133">
        <v>4450</v>
      </c>
      <c r="F143" s="126">
        <v>6041</v>
      </c>
      <c r="G143" s="126">
        <v>8000</v>
      </c>
      <c r="H143" s="126">
        <v>6443</v>
      </c>
      <c r="I143" s="126">
        <v>6883</v>
      </c>
      <c r="J143" s="126">
        <v>6922</v>
      </c>
      <c r="K143" s="126">
        <v>6658</v>
      </c>
      <c r="L143" s="126">
        <v>-6733</v>
      </c>
      <c r="M143" s="126"/>
      <c r="N143" s="126"/>
      <c r="O143" s="126"/>
      <c r="P143" s="127"/>
      <c r="Q143" s="131">
        <f aca="true" t="shared" si="29" ref="Q143:Q152">SUM(E143:P143)</f>
        <v>38664</v>
      </c>
    </row>
    <row r="144" spans="1:17" s="129" customFormat="1" ht="9.75" customHeight="1">
      <c r="A144" s="1385"/>
      <c r="B144" s="1388"/>
      <c r="C144" s="1391"/>
      <c r="D144" s="172" t="s">
        <v>892</v>
      </c>
      <c r="E144" s="133" t="s">
        <v>325</v>
      </c>
      <c r="F144" s="126" t="s">
        <v>325</v>
      </c>
      <c r="G144" s="126" t="s">
        <v>325</v>
      </c>
      <c r="H144" s="173" t="s">
        <v>325</v>
      </c>
      <c r="I144" s="173" t="s">
        <v>325</v>
      </c>
      <c r="J144" s="126">
        <v>-3675</v>
      </c>
      <c r="K144" s="173" t="s">
        <v>325</v>
      </c>
      <c r="L144" s="173" t="s">
        <v>325</v>
      </c>
      <c r="M144" s="126"/>
      <c r="N144" s="126"/>
      <c r="O144" s="126"/>
      <c r="P144" s="127"/>
      <c r="Q144" s="131">
        <f t="shared" si="29"/>
        <v>-3675</v>
      </c>
    </row>
    <row r="145" spans="1:17" s="129" customFormat="1" ht="9.75" customHeight="1">
      <c r="A145" s="1385"/>
      <c r="B145" s="1388"/>
      <c r="C145" s="1391"/>
      <c r="D145" s="172" t="s">
        <v>880</v>
      </c>
      <c r="E145" s="133" t="s">
        <v>325</v>
      </c>
      <c r="F145" s="126" t="s">
        <v>325</v>
      </c>
      <c r="G145" s="126" t="s">
        <v>325</v>
      </c>
      <c r="H145" s="126">
        <v>8800</v>
      </c>
      <c r="I145" s="173" t="s">
        <v>325</v>
      </c>
      <c r="J145" s="173" t="s">
        <v>325</v>
      </c>
      <c r="K145" s="173" t="s">
        <v>325</v>
      </c>
      <c r="L145" s="173" t="s">
        <v>325</v>
      </c>
      <c r="M145" s="126"/>
      <c r="N145" s="126"/>
      <c r="O145" s="126"/>
      <c r="P145" s="127"/>
      <c r="Q145" s="131">
        <f t="shared" si="29"/>
        <v>8800</v>
      </c>
    </row>
    <row r="146" spans="1:17" s="129" customFormat="1" ht="9.75" customHeight="1">
      <c r="A146" s="1385"/>
      <c r="B146" s="1388"/>
      <c r="C146" s="1391"/>
      <c r="D146" s="172" t="s">
        <v>893</v>
      </c>
      <c r="E146" s="133" t="s">
        <v>325</v>
      </c>
      <c r="F146" s="126" t="s">
        <v>325</v>
      </c>
      <c r="G146" s="126" t="s">
        <v>325</v>
      </c>
      <c r="H146" s="126">
        <v>-720</v>
      </c>
      <c r="I146" s="173" t="s">
        <v>325</v>
      </c>
      <c r="J146" s="173" t="s">
        <v>325</v>
      </c>
      <c r="K146" s="173" t="s">
        <v>325</v>
      </c>
      <c r="L146" s="173" t="s">
        <v>325</v>
      </c>
      <c r="M146" s="126"/>
      <c r="N146" s="126"/>
      <c r="O146" s="126"/>
      <c r="P146" s="127"/>
      <c r="Q146" s="131">
        <f t="shared" si="29"/>
        <v>-720</v>
      </c>
    </row>
    <row r="147" spans="1:17" s="129" customFormat="1" ht="9.75" customHeight="1">
      <c r="A147" s="1385"/>
      <c r="B147" s="1388"/>
      <c r="C147" s="1391"/>
      <c r="D147" s="172" t="s">
        <v>889</v>
      </c>
      <c r="E147" s="133" t="s">
        <v>325</v>
      </c>
      <c r="F147" s="126" t="s">
        <v>325</v>
      </c>
      <c r="G147" s="126" t="s">
        <v>325</v>
      </c>
      <c r="H147" s="126">
        <v>-14400</v>
      </c>
      <c r="I147" s="173" t="s">
        <v>325</v>
      </c>
      <c r="J147" s="173" t="s">
        <v>325</v>
      </c>
      <c r="K147" s="173" t="s">
        <v>325</v>
      </c>
      <c r="L147" s="173" t="s">
        <v>325</v>
      </c>
      <c r="M147" s="126"/>
      <c r="N147" s="126"/>
      <c r="O147" s="126"/>
      <c r="P147" s="127"/>
      <c r="Q147" s="131">
        <f>SUM(E147:P147)</f>
        <v>-14400</v>
      </c>
    </row>
    <row r="148" spans="1:17" s="129" customFormat="1" ht="9.75" customHeight="1">
      <c r="A148" s="1385"/>
      <c r="B148" s="1388"/>
      <c r="C148" s="1391"/>
      <c r="D148" s="172" t="s">
        <v>890</v>
      </c>
      <c r="E148" s="133" t="s">
        <v>325</v>
      </c>
      <c r="F148" s="126" t="s">
        <v>325</v>
      </c>
      <c r="G148" s="126" t="s">
        <v>325</v>
      </c>
      <c r="H148" s="173" t="s">
        <v>325</v>
      </c>
      <c r="I148" s="173" t="s">
        <v>325</v>
      </c>
      <c r="J148" s="126">
        <v>-3570</v>
      </c>
      <c r="K148" s="173" t="s">
        <v>325</v>
      </c>
      <c r="L148" s="173" t="s">
        <v>325</v>
      </c>
      <c r="M148" s="126"/>
      <c r="N148" s="126"/>
      <c r="O148" s="126"/>
      <c r="P148" s="127"/>
      <c r="Q148" s="131">
        <f t="shared" si="29"/>
        <v>-3570</v>
      </c>
    </row>
    <row r="149" spans="1:17" s="129" customFormat="1" ht="9.75" customHeight="1">
      <c r="A149" s="1385"/>
      <c r="B149" s="1388"/>
      <c r="C149" s="1391"/>
      <c r="D149" s="172" t="s">
        <v>881</v>
      </c>
      <c r="E149" s="133" t="s">
        <v>325</v>
      </c>
      <c r="F149" s="126" t="s">
        <v>325</v>
      </c>
      <c r="G149" s="126" t="s">
        <v>325</v>
      </c>
      <c r="H149" s="126">
        <v>1440</v>
      </c>
      <c r="I149" s="173" t="s">
        <v>325</v>
      </c>
      <c r="J149" s="173" t="s">
        <v>325</v>
      </c>
      <c r="K149" s="173" t="s">
        <v>325</v>
      </c>
      <c r="L149" s="173" t="s">
        <v>325</v>
      </c>
      <c r="M149" s="126"/>
      <c r="N149" s="126"/>
      <c r="O149" s="126"/>
      <c r="P149" s="127"/>
      <c r="Q149" s="131">
        <f t="shared" si="29"/>
        <v>1440</v>
      </c>
    </row>
    <row r="150" spans="1:17" s="129" customFormat="1" ht="9.75" customHeight="1">
      <c r="A150" s="1385"/>
      <c r="B150" s="1388"/>
      <c r="C150" s="1391"/>
      <c r="D150" s="174" t="s">
        <v>883</v>
      </c>
      <c r="E150" s="175" t="s">
        <v>325</v>
      </c>
      <c r="F150" s="132" t="s">
        <v>325</v>
      </c>
      <c r="G150" s="132" t="s">
        <v>325</v>
      </c>
      <c r="H150" s="173" t="s">
        <v>325</v>
      </c>
      <c r="I150" s="173" t="s">
        <v>325</v>
      </c>
      <c r="J150" s="132">
        <v>-900</v>
      </c>
      <c r="K150" s="173" t="s">
        <v>325</v>
      </c>
      <c r="L150" s="173" t="s">
        <v>325</v>
      </c>
      <c r="M150" s="132"/>
      <c r="N150" s="132"/>
      <c r="O150" s="132"/>
      <c r="P150" s="196"/>
      <c r="Q150" s="131">
        <f t="shared" si="29"/>
        <v>-900</v>
      </c>
    </row>
    <row r="151" spans="1:17" s="129" customFormat="1" ht="9.75" customHeight="1">
      <c r="A151" s="1385"/>
      <c r="B151" s="1388"/>
      <c r="C151" s="1391"/>
      <c r="D151" s="174" t="s">
        <v>870</v>
      </c>
      <c r="E151" s="142" t="s">
        <v>325</v>
      </c>
      <c r="F151" s="132" t="s">
        <v>325</v>
      </c>
      <c r="G151" s="132" t="s">
        <v>325</v>
      </c>
      <c r="H151" s="173" t="s">
        <v>325</v>
      </c>
      <c r="I151" s="173" t="s">
        <v>325</v>
      </c>
      <c r="J151" s="132">
        <v>1260</v>
      </c>
      <c r="K151" s="173" t="s">
        <v>325</v>
      </c>
      <c r="L151" s="173" t="s">
        <v>325</v>
      </c>
      <c r="M151" s="132"/>
      <c r="N151" s="132"/>
      <c r="O151" s="132"/>
      <c r="P151" s="196"/>
      <c r="Q151" s="131">
        <f t="shared" si="29"/>
        <v>1260</v>
      </c>
    </row>
    <row r="152" spans="1:17" s="129" customFormat="1" ht="9.75" customHeight="1">
      <c r="A152" s="1385"/>
      <c r="B152" s="1388"/>
      <c r="C152" s="1391"/>
      <c r="D152" s="174" t="s">
        <v>886</v>
      </c>
      <c r="E152" s="142" t="s">
        <v>325</v>
      </c>
      <c r="F152" s="132" t="s">
        <v>325</v>
      </c>
      <c r="G152" s="132" t="s">
        <v>325</v>
      </c>
      <c r="H152" s="173" t="s">
        <v>325</v>
      </c>
      <c r="I152" s="173" t="s">
        <v>325</v>
      </c>
      <c r="J152" s="132">
        <v>-1800</v>
      </c>
      <c r="K152" s="173" t="s">
        <v>325</v>
      </c>
      <c r="L152" s="173" t="s">
        <v>325</v>
      </c>
      <c r="M152" s="132"/>
      <c r="N152" s="132"/>
      <c r="O152" s="132"/>
      <c r="P152" s="196"/>
      <c r="Q152" s="131">
        <f t="shared" si="29"/>
        <v>-1800</v>
      </c>
    </row>
    <row r="153" spans="1:17" s="129" customFormat="1" ht="9.75" customHeight="1">
      <c r="A153" s="1385"/>
      <c r="B153" s="1388"/>
      <c r="C153" s="1391"/>
      <c r="D153" s="174" t="s">
        <v>894</v>
      </c>
      <c r="E153" s="142" t="s">
        <v>325</v>
      </c>
      <c r="F153" s="132" t="s">
        <v>325</v>
      </c>
      <c r="G153" s="132" t="s">
        <v>325</v>
      </c>
      <c r="H153" s="173" t="s">
        <v>325</v>
      </c>
      <c r="I153" s="173" t="s">
        <v>325</v>
      </c>
      <c r="J153" s="132">
        <v>-2100</v>
      </c>
      <c r="K153" s="173" t="s">
        <v>325</v>
      </c>
      <c r="L153" s="173" t="s">
        <v>325</v>
      </c>
      <c r="M153" s="132"/>
      <c r="N153" s="132"/>
      <c r="O153" s="132"/>
      <c r="P153" s="196"/>
      <c r="Q153" s="131">
        <f>SUM(E153:P153)</f>
        <v>-2100</v>
      </c>
    </row>
    <row r="154" spans="1:17" s="129" customFormat="1" ht="9.75" customHeight="1" thickBot="1">
      <c r="A154" s="1386"/>
      <c r="B154" s="1389"/>
      <c r="C154" s="1394"/>
      <c r="D154" s="177" t="s">
        <v>420</v>
      </c>
      <c r="E154" s="197">
        <f>SUM(E142:E153)</f>
        <v>0</v>
      </c>
      <c r="F154" s="149">
        <f aca="true" t="shared" si="30" ref="F154:P154">SUM(F142:F153)</f>
        <v>0</v>
      </c>
      <c r="G154" s="149">
        <f t="shared" si="30"/>
        <v>0</v>
      </c>
      <c r="H154" s="149">
        <f t="shared" si="30"/>
        <v>-4880</v>
      </c>
      <c r="I154" s="149">
        <f t="shared" si="30"/>
        <v>0</v>
      </c>
      <c r="J154" s="149">
        <f>SUM(J142:J153)</f>
        <v>-10785</v>
      </c>
      <c r="K154" s="149">
        <f t="shared" si="30"/>
        <v>0</v>
      </c>
      <c r="L154" s="149">
        <f t="shared" si="30"/>
        <v>0</v>
      </c>
      <c r="M154" s="149">
        <f t="shared" si="30"/>
        <v>0</v>
      </c>
      <c r="N154" s="149">
        <f t="shared" si="30"/>
        <v>0</v>
      </c>
      <c r="O154" s="149">
        <f t="shared" si="30"/>
        <v>0</v>
      </c>
      <c r="P154" s="149">
        <f t="shared" si="30"/>
        <v>0</v>
      </c>
      <c r="Q154" s="151">
        <f>SUM(Q142:Q153)</f>
        <v>-15665</v>
      </c>
    </row>
    <row r="155" ht="9.75" customHeight="1">
      <c r="J155" s="198"/>
    </row>
    <row r="156" spans="8:10" ht="9.75" customHeight="1">
      <c r="H156" s="198"/>
      <c r="J156" s="198"/>
    </row>
    <row r="157" spans="2:10" ht="9.75" customHeight="1">
      <c r="B157" s="199" t="s">
        <v>426</v>
      </c>
      <c r="H157" s="198"/>
      <c r="J157" s="198"/>
    </row>
    <row r="158" spans="2:17" ht="9.75" customHeight="1">
      <c r="B158" s="1399" t="s">
        <v>863</v>
      </c>
      <c r="C158" s="1399"/>
      <c r="D158" s="1399"/>
      <c r="E158" s="1399"/>
      <c r="F158" s="1399"/>
      <c r="G158" s="1399"/>
      <c r="H158" s="1399"/>
      <c r="I158" s="1399"/>
      <c r="J158" s="1399"/>
      <c r="K158" s="1399"/>
      <c r="L158" s="1399"/>
      <c r="M158" s="1399"/>
      <c r="N158" s="1399"/>
      <c r="O158" s="1399"/>
      <c r="P158" s="1399"/>
      <c r="Q158" s="1399"/>
    </row>
    <row r="159" spans="2:17" ht="9.75" customHeight="1">
      <c r="B159" s="1399" t="s">
        <v>864</v>
      </c>
      <c r="C159" s="1399"/>
      <c r="D159" s="1399"/>
      <c r="E159" s="1399"/>
      <c r="F159" s="1399"/>
      <c r="G159" s="1399"/>
      <c r="H159" s="1399"/>
      <c r="I159" s="1399"/>
      <c r="J159" s="1399"/>
      <c r="K159" s="1399"/>
      <c r="L159" s="1399"/>
      <c r="M159" s="1399"/>
      <c r="N159" s="1399"/>
      <c r="O159" s="1399"/>
      <c r="P159" s="1399"/>
      <c r="Q159" s="1399"/>
    </row>
    <row r="161" ht="13.5" thickBot="1"/>
    <row r="162" spans="3:17" ht="15.75">
      <c r="C162" s="1377" t="s">
        <v>862</v>
      </c>
      <c r="D162" s="1378"/>
      <c r="E162" s="1378"/>
      <c r="F162" s="1378"/>
      <c r="G162" s="1378"/>
      <c r="H162" s="1378"/>
      <c r="I162" s="1378"/>
      <c r="J162" s="1378"/>
      <c r="K162" s="1378"/>
      <c r="L162" s="1378"/>
      <c r="M162" s="1378"/>
      <c r="N162" s="1378"/>
      <c r="O162" s="1378"/>
      <c r="P162" s="1378"/>
      <c r="Q162" s="1379"/>
    </row>
    <row r="163" spans="3:17" ht="12.75">
      <c r="C163" s="1380"/>
      <c r="D163" s="1381"/>
      <c r="E163" s="1101" t="s">
        <v>851</v>
      </c>
      <c r="F163" s="1101" t="s">
        <v>852</v>
      </c>
      <c r="G163" s="1101" t="s">
        <v>853</v>
      </c>
      <c r="H163" s="1101" t="s">
        <v>854</v>
      </c>
      <c r="I163" s="1101" t="s">
        <v>727</v>
      </c>
      <c r="J163" s="1101" t="s">
        <v>855</v>
      </c>
      <c r="K163" s="1101" t="s">
        <v>856</v>
      </c>
      <c r="L163" s="1101" t="s">
        <v>857</v>
      </c>
      <c r="M163" s="1101" t="s">
        <v>858</v>
      </c>
      <c r="N163" s="1101" t="s">
        <v>859</v>
      </c>
      <c r="O163" s="1101" t="s">
        <v>860</v>
      </c>
      <c r="P163" s="1101" t="s">
        <v>861</v>
      </c>
      <c r="Q163" s="956">
        <v>2017</v>
      </c>
    </row>
    <row r="164" spans="3:17" ht="12.75">
      <c r="C164" s="1373" t="s">
        <v>427</v>
      </c>
      <c r="D164" s="1374"/>
      <c r="E164" s="92">
        <v>-11160</v>
      </c>
      <c r="F164" s="92">
        <v>-10080</v>
      </c>
      <c r="G164" s="92">
        <v>-11145</v>
      </c>
      <c r="H164" s="92"/>
      <c r="I164" s="92">
        <v>-11160</v>
      </c>
      <c r="J164" s="92">
        <v>-1080</v>
      </c>
      <c r="K164" s="92">
        <v>-11160</v>
      </c>
      <c r="L164" s="92">
        <v>-8680</v>
      </c>
      <c r="M164" s="92"/>
      <c r="N164" s="92"/>
      <c r="O164" s="92"/>
      <c r="P164" s="92"/>
      <c r="Q164" s="957">
        <f aca="true" t="shared" si="31" ref="Q164:Q174">SUM(E164:P164)</f>
        <v>-64465</v>
      </c>
    </row>
    <row r="165" spans="3:17" ht="12.75">
      <c r="C165" s="1373" t="s">
        <v>428</v>
      </c>
      <c r="D165" s="1374"/>
      <c r="E165" s="92">
        <v>-44640</v>
      </c>
      <c r="F165" s="92">
        <v>-57120</v>
      </c>
      <c r="G165" s="92">
        <v>-22290</v>
      </c>
      <c r="H165" s="92"/>
      <c r="I165" s="92">
        <v>-44640</v>
      </c>
      <c r="J165" s="92">
        <v>-10080</v>
      </c>
      <c r="K165" s="92">
        <v>-131720</v>
      </c>
      <c r="L165" s="92">
        <v>-189415</v>
      </c>
      <c r="M165" s="92"/>
      <c r="N165" s="92"/>
      <c r="O165" s="92"/>
      <c r="P165" s="92"/>
      <c r="Q165" s="957">
        <f t="shared" si="31"/>
        <v>-499905</v>
      </c>
    </row>
    <row r="166" spans="3:17" ht="12.75">
      <c r="C166" s="1382" t="s">
        <v>429</v>
      </c>
      <c r="D166" s="1383"/>
      <c r="E166" s="92"/>
      <c r="F166" s="92">
        <v>-3360</v>
      </c>
      <c r="G166" s="92">
        <v>-7430</v>
      </c>
      <c r="H166" s="92"/>
      <c r="I166" s="92"/>
      <c r="J166" s="92">
        <v>-1080</v>
      </c>
      <c r="K166" s="92">
        <v>-11160</v>
      </c>
      <c r="L166" s="92">
        <v>-21000</v>
      </c>
      <c r="M166" s="92"/>
      <c r="N166" s="92"/>
      <c r="O166" s="92"/>
      <c r="P166" s="92"/>
      <c r="Q166" s="957">
        <f t="shared" si="31"/>
        <v>-44030</v>
      </c>
    </row>
    <row r="167" spans="3:17" ht="12.75">
      <c r="C167" s="1373" t="s">
        <v>421</v>
      </c>
      <c r="D167" s="1374"/>
      <c r="E167" s="92">
        <v>-48360</v>
      </c>
      <c r="F167" s="92">
        <v>-57120</v>
      </c>
      <c r="G167" s="92">
        <v>-22290</v>
      </c>
      <c r="H167" s="92"/>
      <c r="I167" s="92">
        <v>-44640</v>
      </c>
      <c r="J167" s="92">
        <v>-10440</v>
      </c>
      <c r="K167" s="92">
        <v>-116180</v>
      </c>
      <c r="L167" s="92">
        <v>-43320</v>
      </c>
      <c r="M167" s="92"/>
      <c r="N167" s="92"/>
      <c r="O167" s="92"/>
      <c r="P167" s="92"/>
      <c r="Q167" s="957">
        <f t="shared" si="31"/>
        <v>-342350</v>
      </c>
    </row>
    <row r="168" spans="3:17" ht="12.75">
      <c r="C168" s="1373" t="s">
        <v>430</v>
      </c>
      <c r="D168" s="1374"/>
      <c r="E168" s="92">
        <v>-44640</v>
      </c>
      <c r="F168" s="92">
        <v>-40320</v>
      </c>
      <c r="G168" s="92">
        <v>-22290</v>
      </c>
      <c r="H168" s="92"/>
      <c r="I168" s="92">
        <v>-40920</v>
      </c>
      <c r="J168" s="92">
        <v>-2520</v>
      </c>
      <c r="K168" s="92">
        <v>-79210</v>
      </c>
      <c r="L168" s="92">
        <v>-126240</v>
      </c>
      <c r="M168" s="92"/>
      <c r="N168" s="92"/>
      <c r="O168" s="92"/>
      <c r="P168" s="92"/>
      <c r="Q168" s="957">
        <f t="shared" si="31"/>
        <v>-356140</v>
      </c>
    </row>
    <row r="169" spans="3:17" ht="12.75">
      <c r="C169" s="1373" t="s">
        <v>150</v>
      </c>
      <c r="D169" s="1374"/>
      <c r="E169" s="92">
        <v>-37200</v>
      </c>
      <c r="F169" s="92"/>
      <c r="G169" s="92">
        <v>-11145</v>
      </c>
      <c r="H169" s="92"/>
      <c r="I169" s="92">
        <v>-15541</v>
      </c>
      <c r="J169" s="92"/>
      <c r="K169" s="92">
        <v>-12250</v>
      </c>
      <c r="L169" s="92">
        <v>-39688</v>
      </c>
      <c r="M169" s="92"/>
      <c r="N169" s="92"/>
      <c r="O169" s="92"/>
      <c r="P169" s="92"/>
      <c r="Q169" s="957">
        <f t="shared" si="31"/>
        <v>-115824</v>
      </c>
    </row>
    <row r="170" spans="3:17" ht="12.75">
      <c r="C170" s="1382" t="s">
        <v>348</v>
      </c>
      <c r="D170" s="1383"/>
      <c r="E170" s="53"/>
      <c r="F170" s="53"/>
      <c r="G170" s="92"/>
      <c r="H170" s="53"/>
      <c r="I170" s="92">
        <v>-7440</v>
      </c>
      <c r="J170" s="53"/>
      <c r="K170" s="53">
        <v>-3720</v>
      </c>
      <c r="L170" s="53"/>
      <c r="M170" s="53"/>
      <c r="N170" s="53"/>
      <c r="O170" s="53"/>
      <c r="P170" s="53"/>
      <c r="Q170" s="958">
        <f t="shared" si="31"/>
        <v>-11160</v>
      </c>
    </row>
    <row r="171" spans="3:17" ht="12.75">
      <c r="C171" s="1382" t="s">
        <v>431</v>
      </c>
      <c r="D171" s="1383"/>
      <c r="E171" s="53"/>
      <c r="F171" s="53"/>
      <c r="G171" s="92"/>
      <c r="H171" s="53"/>
      <c r="I171" s="92"/>
      <c r="J171" s="53"/>
      <c r="K171" s="53"/>
      <c r="L171" s="53">
        <v>-2480</v>
      </c>
      <c r="M171" s="53"/>
      <c r="N171" s="53"/>
      <c r="O171" s="53"/>
      <c r="P171" s="53"/>
      <c r="Q171" s="958">
        <f t="shared" si="31"/>
        <v>-2480</v>
      </c>
    </row>
    <row r="172" spans="3:17" ht="12.75">
      <c r="C172" s="1382" t="s">
        <v>432</v>
      </c>
      <c r="D172" s="1383"/>
      <c r="E172" s="53"/>
      <c r="F172" s="53"/>
      <c r="G172" s="92"/>
      <c r="H172" s="53"/>
      <c r="I172" s="92">
        <v>-8928</v>
      </c>
      <c r="J172" s="53"/>
      <c r="K172" s="53"/>
      <c r="L172" s="53"/>
      <c r="M172" s="53"/>
      <c r="N172" s="53"/>
      <c r="O172" s="53"/>
      <c r="P172" s="53"/>
      <c r="Q172" s="958">
        <f t="shared" si="31"/>
        <v>-8928</v>
      </c>
    </row>
    <row r="173" spans="3:17" ht="12.75">
      <c r="C173" s="1382" t="s">
        <v>433</v>
      </c>
      <c r="D173" s="1383"/>
      <c r="E173" s="53"/>
      <c r="F173" s="53"/>
      <c r="G173" s="92"/>
      <c r="H173" s="53"/>
      <c r="I173" s="92"/>
      <c r="J173" s="53"/>
      <c r="K173" s="53"/>
      <c r="L173" s="53">
        <v>-16264</v>
      </c>
      <c r="M173" s="53"/>
      <c r="N173" s="53"/>
      <c r="O173" s="53"/>
      <c r="P173" s="53"/>
      <c r="Q173" s="958">
        <f t="shared" si="31"/>
        <v>-16264</v>
      </c>
    </row>
    <row r="174" spans="3:17" ht="12.75">
      <c r="C174" s="1382" t="s">
        <v>434</v>
      </c>
      <c r="D174" s="1383"/>
      <c r="E174" s="53"/>
      <c r="F174" s="53"/>
      <c r="G174" s="92"/>
      <c r="H174" s="53"/>
      <c r="I174" s="53"/>
      <c r="J174" s="53"/>
      <c r="K174" s="53"/>
      <c r="L174" s="53">
        <v>-7000</v>
      </c>
      <c r="M174" s="53"/>
      <c r="N174" s="53"/>
      <c r="O174" s="53"/>
      <c r="P174" s="53"/>
      <c r="Q174" s="958">
        <f t="shared" si="31"/>
        <v>-7000</v>
      </c>
    </row>
    <row r="175" spans="3:17" ht="12.75">
      <c r="C175" s="1373" t="s">
        <v>435</v>
      </c>
      <c r="D175" s="1374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57"/>
    </row>
    <row r="176" spans="3:17" ht="13.5" thickBot="1">
      <c r="C176" s="1375" t="s">
        <v>17</v>
      </c>
      <c r="D176" s="1376"/>
      <c r="E176" s="959">
        <v>-186000</v>
      </c>
      <c r="F176" s="959">
        <v>-168000</v>
      </c>
      <c r="G176" s="959">
        <v>-96590</v>
      </c>
      <c r="H176" s="959"/>
      <c r="I176" s="959">
        <v>-173269</v>
      </c>
      <c r="J176" s="959">
        <v>-25200</v>
      </c>
      <c r="K176" s="959">
        <v>-365400</v>
      </c>
      <c r="L176" s="959">
        <v>-454087</v>
      </c>
      <c r="M176" s="959"/>
      <c r="N176" s="959"/>
      <c r="O176" s="959"/>
      <c r="P176" s="959"/>
      <c r="Q176" s="960">
        <f>SUM(E176:P176)</f>
        <v>-1468546</v>
      </c>
    </row>
    <row r="178" spans="14:18" ht="12.75">
      <c r="N178" s="1017" t="s">
        <v>446</v>
      </c>
      <c r="O178" s="1017"/>
      <c r="P178" s="1017"/>
      <c r="Q178" s="1017"/>
      <c r="R178" s="1017"/>
    </row>
  </sheetData>
  <sheetProtection/>
  <mergeCells count="57">
    <mergeCell ref="B158:Q158"/>
    <mergeCell ref="B159:Q159"/>
    <mergeCell ref="A40:A57"/>
    <mergeCell ref="B40:B57"/>
    <mergeCell ref="C40:C47"/>
    <mergeCell ref="C48:C57"/>
    <mergeCell ref="A59:A76"/>
    <mergeCell ref="B59:B76"/>
    <mergeCell ref="C59:C66"/>
    <mergeCell ref="C67:C76"/>
    <mergeCell ref="A78:A92"/>
    <mergeCell ref="B78:B92"/>
    <mergeCell ref="C78:C85"/>
    <mergeCell ref="C86:C92"/>
    <mergeCell ref="A94:A106"/>
    <mergeCell ref="B94:B106"/>
    <mergeCell ref="A1:Q1"/>
    <mergeCell ref="C2:D2"/>
    <mergeCell ref="A3:A15"/>
    <mergeCell ref="B3:B15"/>
    <mergeCell ref="C3:C10"/>
    <mergeCell ref="C11:C12"/>
    <mergeCell ref="C13:C15"/>
    <mergeCell ref="A17:A38"/>
    <mergeCell ref="B17:B38"/>
    <mergeCell ref="C17:C24"/>
    <mergeCell ref="C25:C26"/>
    <mergeCell ref="C27:C38"/>
    <mergeCell ref="C94:C101"/>
    <mergeCell ref="C102:C106"/>
    <mergeCell ref="A108:A120"/>
    <mergeCell ref="B108:B120"/>
    <mergeCell ref="C108:C115"/>
    <mergeCell ref="C116:C120"/>
    <mergeCell ref="A122:A132"/>
    <mergeCell ref="B122:B132"/>
    <mergeCell ref="C122:C129"/>
    <mergeCell ref="C130:C132"/>
    <mergeCell ref="A134:A154"/>
    <mergeCell ref="B134:B154"/>
    <mergeCell ref="C134:C141"/>
    <mergeCell ref="C142:C154"/>
    <mergeCell ref="C175:D175"/>
    <mergeCell ref="C176:D176"/>
    <mergeCell ref="C162:Q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</mergeCells>
  <printOptions/>
  <pageMargins left="0.25" right="0.25" top="0.75" bottom="0.75" header="0.3" footer="0.3"/>
  <pageSetup orientation="landscape" scale="65" r:id="rId1"/>
  <rowBreaks count="2" manualBreakCount="2">
    <brk id="76" max="255" man="1"/>
    <brk id="1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K30:Q35"/>
  <sheetViews>
    <sheetView zoomScalePageLayoutView="0" workbookViewId="0" topLeftCell="A10">
      <selection activeCell="O28" sqref="O28"/>
    </sheetView>
  </sheetViews>
  <sheetFormatPr defaultColWidth="9.140625" defaultRowHeight="15"/>
  <sheetData>
    <row r="4" ht="25.5" customHeight="1"/>
    <row r="30" ht="15">
      <c r="Q30" t="s">
        <v>494</v>
      </c>
    </row>
    <row r="35" spans="11:14" ht="15">
      <c r="K35" s="1102" t="s">
        <v>440</v>
      </c>
      <c r="L35" s="1102"/>
      <c r="M35" s="1102"/>
      <c r="N35" s="1016"/>
    </row>
  </sheetData>
  <sheetProtection/>
  <mergeCells count="1">
    <mergeCell ref="K35:M35"/>
  </mergeCells>
  <printOptions/>
  <pageMargins left="0.7" right="0.7" top="0.75" bottom="0.75" header="0.3" footer="0.3"/>
  <pageSetup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view="pageBreakPreview" zoomScaleSheetLayoutView="100" zoomScalePageLayoutView="0" workbookViewId="0" topLeftCell="A7">
      <selection activeCell="A19" sqref="A19"/>
    </sheetView>
  </sheetViews>
  <sheetFormatPr defaultColWidth="9.140625" defaultRowHeight="15"/>
  <cols>
    <col min="1" max="1" width="60.140625" style="30" bestFit="1" customWidth="1"/>
    <col min="2" max="2" width="16.57421875" style="7" bestFit="1" customWidth="1"/>
    <col min="3" max="3" width="13.28125" style="30" bestFit="1" customWidth="1"/>
    <col min="4" max="4" width="12.57421875" style="30" bestFit="1" customWidth="1"/>
    <col min="5" max="6" width="13.00390625" style="30" bestFit="1" customWidth="1"/>
    <col min="7" max="7" width="12.7109375" style="30" bestFit="1" customWidth="1"/>
    <col min="8" max="8" width="13.28125" style="30" bestFit="1" customWidth="1"/>
    <col min="9" max="9" width="11.8515625" style="30" bestFit="1" customWidth="1"/>
    <col min="10" max="10" width="12.57421875" style="30" bestFit="1" customWidth="1"/>
    <col min="11" max="11" width="10.28125" style="30" bestFit="1" customWidth="1"/>
    <col min="12" max="16384" width="9.140625" style="30" customWidth="1"/>
  </cols>
  <sheetData>
    <row r="1" spans="1:16" ht="30" customHeight="1" thickBot="1">
      <c r="A1" s="855"/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61"/>
      <c r="M1" s="861"/>
      <c r="N1" s="861"/>
      <c r="O1" s="861"/>
      <c r="P1" s="861"/>
    </row>
    <row r="2" spans="1:14" ht="67.5">
      <c r="A2" s="698" t="s">
        <v>88</v>
      </c>
      <c r="B2" s="699"/>
      <c r="C2" s="868" t="s">
        <v>89</v>
      </c>
      <c r="D2" s="869" t="s">
        <v>90</v>
      </c>
      <c r="E2" s="868" t="s">
        <v>91</v>
      </c>
      <c r="F2" s="869" t="s">
        <v>92</v>
      </c>
      <c r="G2" s="868" t="s">
        <v>93</v>
      </c>
      <c r="H2" s="869" t="s">
        <v>94</v>
      </c>
      <c r="I2" s="868" t="s">
        <v>95</v>
      </c>
      <c r="J2" s="869" t="s">
        <v>96</v>
      </c>
      <c r="K2" s="853" t="s">
        <v>349</v>
      </c>
      <c r="L2" s="854"/>
      <c r="M2" s="854"/>
      <c r="N2" s="854"/>
    </row>
    <row r="3" spans="1:11" ht="13.5" thickBot="1">
      <c r="A3" s="700" t="s">
        <v>97</v>
      </c>
      <c r="B3" s="701"/>
      <c r="C3" s="702"/>
      <c r="D3" s="703"/>
      <c r="E3" s="702"/>
      <c r="F3" s="703"/>
      <c r="G3" s="702"/>
      <c r="H3" s="703"/>
      <c r="I3" s="702"/>
      <c r="J3" s="704"/>
      <c r="K3" s="705"/>
    </row>
    <row r="4" spans="1:11" ht="12.75">
      <c r="A4" s="706" t="s">
        <v>98</v>
      </c>
      <c r="B4" s="707">
        <v>1</v>
      </c>
      <c r="C4" s="708">
        <v>477788.51589209994</v>
      </c>
      <c r="D4" s="709">
        <v>292067.159395</v>
      </c>
      <c r="E4" s="708">
        <v>297921.96116829995</v>
      </c>
      <c r="F4" s="708">
        <v>363384.925147</v>
      </c>
      <c r="G4" s="708">
        <v>199863.052655</v>
      </c>
      <c r="H4" s="709">
        <v>399077.4420993</v>
      </c>
      <c r="I4" s="710">
        <v>151754.34475114997</v>
      </c>
      <c r="J4" s="711">
        <v>96941.750321</v>
      </c>
      <c r="K4" s="712">
        <f aca="true" t="shared" si="0" ref="K4:K12">SUM(C4:J4)</f>
        <v>2278799.15142885</v>
      </c>
    </row>
    <row r="5" spans="1:11" ht="12.75">
      <c r="A5" s="713" t="s">
        <v>99</v>
      </c>
      <c r="B5" s="714">
        <v>2</v>
      </c>
      <c r="C5" s="715">
        <v>1668.7162697000003</v>
      </c>
      <c r="D5" s="716">
        <v>12151.891883600005</v>
      </c>
      <c r="E5" s="717">
        <v>26699.2140855</v>
      </c>
      <c r="F5" s="717">
        <v>18593.5804713</v>
      </c>
      <c r="G5" s="717">
        <v>15369.5286988</v>
      </c>
      <c r="H5" s="716">
        <v>5801.740581699999</v>
      </c>
      <c r="I5" s="715">
        <v>367.8799291</v>
      </c>
      <c r="J5" s="503">
        <v>8.943870000000002</v>
      </c>
      <c r="K5" s="718">
        <f t="shared" si="0"/>
        <v>80661.49578970001</v>
      </c>
    </row>
    <row r="6" spans="1:11" ht="13.5" thickBot="1">
      <c r="A6" s="719" t="s">
        <v>100</v>
      </c>
      <c r="B6" s="720">
        <v>3</v>
      </c>
      <c r="C6" s="721">
        <v>19300.715685699997</v>
      </c>
      <c r="D6" s="722">
        <v>47302.384743</v>
      </c>
      <c r="E6" s="723">
        <v>66771.21860000001</v>
      </c>
      <c r="F6" s="723">
        <v>58358.52608219999</v>
      </c>
      <c r="G6" s="723">
        <v>51523.0282524</v>
      </c>
      <c r="H6" s="722">
        <v>25641.474223499998</v>
      </c>
      <c r="I6" s="721">
        <v>7627.2457739</v>
      </c>
      <c r="J6" s="724">
        <v>3056.5606528899993</v>
      </c>
      <c r="K6" s="725">
        <f t="shared" si="0"/>
        <v>279581.15401359</v>
      </c>
    </row>
    <row r="7" spans="1:11" ht="12.75">
      <c r="A7" s="713" t="s">
        <v>102</v>
      </c>
      <c r="B7" s="726"/>
      <c r="C7" s="717">
        <v>5980.208644</v>
      </c>
      <c r="D7" s="716">
        <v>13495.7040345</v>
      </c>
      <c r="E7" s="727">
        <v>13238.3696421</v>
      </c>
      <c r="F7" s="717">
        <v>8528.677826399999</v>
      </c>
      <c r="G7" s="717">
        <v>5688.176795300002</v>
      </c>
      <c r="H7" s="716">
        <v>2791.447539899999</v>
      </c>
      <c r="I7" s="715">
        <v>1570.6446923000003</v>
      </c>
      <c r="J7" s="711">
        <v>800.1136496200002</v>
      </c>
      <c r="K7" s="712">
        <f t="shared" si="0"/>
        <v>52093.34282412001</v>
      </c>
    </row>
    <row r="8" spans="1:11" ht="12.75">
      <c r="A8" s="713" t="s">
        <v>202</v>
      </c>
      <c r="B8" s="728"/>
      <c r="C8" s="729">
        <v>20358.5354231</v>
      </c>
      <c r="D8" s="729">
        <v>6332.0443751</v>
      </c>
      <c r="E8" s="729">
        <v>16690.0164102</v>
      </c>
      <c r="F8" s="729">
        <v>8096.313852500001</v>
      </c>
      <c r="G8" s="729">
        <v>9297.350074400001</v>
      </c>
      <c r="H8" s="730">
        <v>9451.5659753</v>
      </c>
      <c r="I8" s="731">
        <v>11930.637316000002</v>
      </c>
      <c r="J8" s="503">
        <v>4158.912783000001</v>
      </c>
      <c r="K8" s="718">
        <f t="shared" si="0"/>
        <v>86315.37620960001</v>
      </c>
    </row>
    <row r="9" spans="1:11" ht="12.75">
      <c r="A9" s="713" t="s">
        <v>101</v>
      </c>
      <c r="B9" s="728">
        <v>4</v>
      </c>
      <c r="C9" s="500">
        <v>24792.372603</v>
      </c>
      <c r="D9" s="500">
        <v>20138.1874963</v>
      </c>
      <c r="E9" s="500">
        <v>18974.0685408</v>
      </c>
      <c r="F9" s="500">
        <v>21155.981607899997</v>
      </c>
      <c r="G9" s="500">
        <v>12010.574658300002</v>
      </c>
      <c r="H9" s="501">
        <v>19583.8516556</v>
      </c>
      <c r="I9" s="502">
        <v>7405.995753799999</v>
      </c>
      <c r="J9" s="503">
        <v>3571.8220361699996</v>
      </c>
      <c r="K9" s="718">
        <f t="shared" si="0"/>
        <v>127632.85435186999</v>
      </c>
    </row>
    <row r="10" spans="1:11" ht="13.5" thickBot="1">
      <c r="A10" s="713" t="s">
        <v>377</v>
      </c>
      <c r="B10" s="732">
        <v>5</v>
      </c>
      <c r="C10" s="723">
        <v>21378.49353197</v>
      </c>
      <c r="D10" s="723">
        <v>28016.750402439997</v>
      </c>
      <c r="E10" s="723">
        <v>43115.7850888</v>
      </c>
      <c r="F10" s="723">
        <v>38596.66346784999</v>
      </c>
      <c r="G10" s="723">
        <v>25990.54503556</v>
      </c>
      <c r="H10" s="733">
        <v>18026.413696009997</v>
      </c>
      <c r="I10" s="721">
        <v>12908.06873914</v>
      </c>
      <c r="J10" s="724">
        <v>11366.646784279998</v>
      </c>
      <c r="K10" s="725">
        <f t="shared" si="0"/>
        <v>199399.36674604996</v>
      </c>
    </row>
    <row r="11" spans="1:11" ht="12.75">
      <c r="A11" s="734" t="s">
        <v>103</v>
      </c>
      <c r="B11" s="735" t="s">
        <v>44</v>
      </c>
      <c r="C11" s="736">
        <v>86275.55799999999</v>
      </c>
      <c r="D11" s="736">
        <v>51274.48199999998</v>
      </c>
      <c r="E11" s="736">
        <v>52903.036</v>
      </c>
      <c r="F11" s="736">
        <v>74793.648</v>
      </c>
      <c r="G11" s="736">
        <v>18593.673</v>
      </c>
      <c r="H11" s="737">
        <v>77018.95099999999</v>
      </c>
      <c r="I11" s="736">
        <v>1030.289</v>
      </c>
      <c r="J11" s="738">
        <v>1229.387</v>
      </c>
      <c r="K11" s="739">
        <f t="shared" si="0"/>
        <v>363119.024</v>
      </c>
    </row>
    <row r="12" spans="1:11" ht="12.75">
      <c r="A12" s="740" t="s">
        <v>104</v>
      </c>
      <c r="B12" s="741" t="s">
        <v>105</v>
      </c>
      <c r="C12" s="742">
        <v>266571.404</v>
      </c>
      <c r="D12" s="742">
        <v>212046.23199999996</v>
      </c>
      <c r="E12" s="742">
        <v>142529.284</v>
      </c>
      <c r="F12" s="742">
        <v>92369.05600000001</v>
      </c>
      <c r="G12" s="742">
        <v>219890.13999999996</v>
      </c>
      <c r="H12" s="743">
        <v>146509.161</v>
      </c>
      <c r="I12" s="742">
        <v>403825.50699999987</v>
      </c>
      <c r="J12" s="742">
        <v>497226.081</v>
      </c>
      <c r="K12" s="739">
        <f t="shared" si="0"/>
        <v>1980966.865</v>
      </c>
    </row>
    <row r="13" spans="1:11" ht="13.5" thickBot="1">
      <c r="A13" s="744" t="s">
        <v>106</v>
      </c>
      <c r="B13" s="745" t="s">
        <v>107</v>
      </c>
      <c r="C13" s="746">
        <f aca="true" t="shared" si="1" ref="C13:J13">C12-C11</f>
        <v>180295.846</v>
      </c>
      <c r="D13" s="746">
        <f t="shared" si="1"/>
        <v>160771.74999999997</v>
      </c>
      <c r="E13" s="746">
        <f t="shared" si="1"/>
        <v>89626.24800000002</v>
      </c>
      <c r="F13" s="746">
        <f t="shared" si="1"/>
        <v>17575.40800000001</v>
      </c>
      <c r="G13" s="746">
        <f t="shared" si="1"/>
        <v>201296.46699999995</v>
      </c>
      <c r="H13" s="747">
        <f t="shared" si="1"/>
        <v>69490.21</v>
      </c>
      <c r="I13" s="746">
        <f t="shared" si="1"/>
        <v>402795.2179999999</v>
      </c>
      <c r="J13" s="746">
        <f t="shared" si="1"/>
        <v>495996.694</v>
      </c>
      <c r="K13" s="748">
        <f>+K12-K11</f>
        <v>1617847.841</v>
      </c>
    </row>
    <row r="14" spans="1:11" ht="12.75">
      <c r="A14" s="749" t="s">
        <v>108</v>
      </c>
      <c r="B14" s="750" t="s">
        <v>154</v>
      </c>
      <c r="C14" s="708">
        <f aca="true" t="shared" si="2" ref="C14:K14">(C4+C5+C6+C7+C8+C9+C10+C12)</f>
        <v>837838.9620495699</v>
      </c>
      <c r="D14" s="708">
        <f t="shared" si="2"/>
        <v>631550.3543299399</v>
      </c>
      <c r="E14" s="708">
        <f t="shared" si="2"/>
        <v>625939.9175357</v>
      </c>
      <c r="F14" s="708">
        <f t="shared" si="2"/>
        <v>609083.72445515</v>
      </c>
      <c r="G14" s="708">
        <f t="shared" si="2"/>
        <v>539632.39616976</v>
      </c>
      <c r="H14" s="751">
        <f t="shared" si="2"/>
        <v>626883.09677131</v>
      </c>
      <c r="I14" s="710">
        <f t="shared" si="2"/>
        <v>597390.3239553899</v>
      </c>
      <c r="J14" s="710">
        <f t="shared" si="2"/>
        <v>617130.83109696</v>
      </c>
      <c r="K14" s="708">
        <f t="shared" si="2"/>
        <v>5085449.60636378</v>
      </c>
    </row>
    <row r="15" spans="1:11" ht="12.75">
      <c r="A15" s="713" t="s">
        <v>109</v>
      </c>
      <c r="B15" s="728">
        <v>8</v>
      </c>
      <c r="C15" s="500">
        <v>16207.18681407</v>
      </c>
      <c r="D15" s="500">
        <v>12302.138083433867</v>
      </c>
      <c r="E15" s="500">
        <v>13896.88790960002</v>
      </c>
      <c r="F15" s="500">
        <v>13614.828859462976</v>
      </c>
      <c r="G15" s="500">
        <v>12001.269966409982</v>
      </c>
      <c r="H15" s="501">
        <v>13364.391992172956</v>
      </c>
      <c r="I15" s="502">
        <v>12531.950086781264</v>
      </c>
      <c r="J15" s="503">
        <v>13886.292636624932</v>
      </c>
      <c r="K15" s="718">
        <f>SUM(C15:J15)</f>
        <v>107804.946348556</v>
      </c>
    </row>
    <row r="16" spans="1:11" ht="12.75">
      <c r="A16" s="713" t="s">
        <v>110</v>
      </c>
      <c r="B16" s="728" t="s">
        <v>111</v>
      </c>
      <c r="C16" s="752">
        <f>+C15/C14*100</f>
        <v>1.9344035725460946</v>
      </c>
      <c r="D16" s="753">
        <f aca="true" t="shared" si="3" ref="D16:J16">+D15/D14*100</f>
        <v>1.9479267170210277</v>
      </c>
      <c r="E16" s="753">
        <f>+E15/E14*100</f>
        <v>2.22016323296835</v>
      </c>
      <c r="F16" s="753">
        <f t="shared" si="3"/>
        <v>2.235296776587158</v>
      </c>
      <c r="G16" s="753">
        <f t="shared" si="3"/>
        <v>2.2239713648760566</v>
      </c>
      <c r="H16" s="754">
        <f t="shared" si="3"/>
        <v>2.1318794622162787</v>
      </c>
      <c r="I16" s="752">
        <f t="shared" si="3"/>
        <v>2.097782569326832</v>
      </c>
      <c r="J16" s="755">
        <f t="shared" si="3"/>
        <v>2.2501375619075494</v>
      </c>
      <c r="K16" s="753">
        <f>+K15/K14*100</f>
        <v>2.119870506899766</v>
      </c>
    </row>
    <row r="17" spans="1:11" ht="13.5" thickBot="1">
      <c r="A17" s="756" t="s">
        <v>112</v>
      </c>
      <c r="B17" s="720" t="s">
        <v>113</v>
      </c>
      <c r="C17" s="723">
        <f>C14-C15</f>
        <v>821631.7752355</v>
      </c>
      <c r="D17" s="723">
        <f aca="true" t="shared" si="4" ref="D17:K17">D14-D15</f>
        <v>619248.2162465061</v>
      </c>
      <c r="E17" s="723">
        <f>E14-E15</f>
        <v>612043.0296261</v>
      </c>
      <c r="F17" s="723">
        <f t="shared" si="4"/>
        <v>595468.895595687</v>
      </c>
      <c r="G17" s="723">
        <f t="shared" si="4"/>
        <v>527631.12620335</v>
      </c>
      <c r="H17" s="733">
        <f t="shared" si="4"/>
        <v>613518.704779137</v>
      </c>
      <c r="I17" s="721">
        <f t="shared" si="4"/>
        <v>584858.3738686086</v>
      </c>
      <c r="J17" s="724">
        <f t="shared" si="4"/>
        <v>603244.5384603351</v>
      </c>
      <c r="K17" s="723">
        <f t="shared" si="4"/>
        <v>4977644.660015224</v>
      </c>
    </row>
    <row r="18" spans="1:11" ht="12.75">
      <c r="A18" s="757" t="s">
        <v>114</v>
      </c>
      <c r="B18" s="758" t="s">
        <v>115</v>
      </c>
      <c r="C18" s="759">
        <f>+C11</f>
        <v>86275.55799999999</v>
      </c>
      <c r="D18" s="760">
        <f aca="true" t="shared" si="5" ref="D18:K18">+D11</f>
        <v>51274.48199999998</v>
      </c>
      <c r="E18" s="759">
        <f t="shared" si="5"/>
        <v>52903.036</v>
      </c>
      <c r="F18" s="759">
        <f t="shared" si="5"/>
        <v>74793.648</v>
      </c>
      <c r="G18" s="759">
        <f t="shared" si="5"/>
        <v>18593.673</v>
      </c>
      <c r="H18" s="761">
        <f t="shared" si="5"/>
        <v>77018.95099999999</v>
      </c>
      <c r="I18" s="762">
        <f>+I11</f>
        <v>1030.289</v>
      </c>
      <c r="J18" s="763">
        <f t="shared" si="5"/>
        <v>1229.387</v>
      </c>
      <c r="K18" s="739">
        <f t="shared" si="5"/>
        <v>363119.024</v>
      </c>
    </row>
    <row r="19" spans="1:11" ht="12.75">
      <c r="A19" s="764" t="s">
        <v>116</v>
      </c>
      <c r="B19" s="765"/>
      <c r="C19" s="766">
        <f aca="true" t="shared" si="6" ref="C19:K19">SUM(C20:C33)</f>
        <v>42918.15893039999</v>
      </c>
      <c r="D19" s="767">
        <f t="shared" si="6"/>
        <v>45498.43195091</v>
      </c>
      <c r="E19" s="766">
        <f t="shared" si="6"/>
        <v>63832.0710846</v>
      </c>
      <c r="F19" s="766">
        <f t="shared" si="6"/>
        <v>71397.28041619998</v>
      </c>
      <c r="G19" s="766">
        <f t="shared" si="6"/>
        <v>73129.95346165</v>
      </c>
      <c r="H19" s="767">
        <f t="shared" si="6"/>
        <v>74230.25881467998</v>
      </c>
      <c r="I19" s="768">
        <f t="shared" si="6"/>
        <v>65114.37852184</v>
      </c>
      <c r="J19" s="768">
        <f t="shared" si="6"/>
        <v>67249.6867542</v>
      </c>
      <c r="K19" s="766">
        <f t="shared" si="6"/>
        <v>503370.21993448003</v>
      </c>
    </row>
    <row r="20" spans="1:11" ht="12.75">
      <c r="A20" s="769" t="s">
        <v>155</v>
      </c>
      <c r="B20" s="770"/>
      <c r="C20" s="771">
        <v>6214.4644278</v>
      </c>
      <c r="D20" s="772">
        <v>15468.920478</v>
      </c>
      <c r="E20" s="771">
        <v>23595.3636108</v>
      </c>
      <c r="F20" s="771">
        <v>24047.782437399997</v>
      </c>
      <c r="G20" s="771">
        <v>26312.595405800002</v>
      </c>
      <c r="H20" s="772">
        <v>25420.576075229998</v>
      </c>
      <c r="I20" s="773">
        <v>19951.659844600003</v>
      </c>
      <c r="J20" s="774">
        <v>20278.857479000002</v>
      </c>
      <c r="K20" s="718">
        <f aca="true" t="shared" si="7" ref="K20:K33">SUM(C20:J20)</f>
        <v>161290.21975863</v>
      </c>
    </row>
    <row r="21" spans="1:11" ht="12.75">
      <c r="A21" s="769" t="s">
        <v>156</v>
      </c>
      <c r="B21" s="770"/>
      <c r="C21" s="771">
        <v>35.8280765</v>
      </c>
      <c r="D21" s="772">
        <v>30.5127144</v>
      </c>
      <c r="E21" s="771">
        <v>31.307923</v>
      </c>
      <c r="F21" s="771">
        <v>26.181411599999997</v>
      </c>
      <c r="G21" s="771">
        <v>22.725277300000005</v>
      </c>
      <c r="H21" s="772">
        <v>20.193709439999996</v>
      </c>
      <c r="I21" s="773">
        <v>19.8078016</v>
      </c>
      <c r="J21" s="774">
        <v>1174.6538739999999</v>
      </c>
      <c r="K21" s="718">
        <f t="shared" si="7"/>
        <v>1361.21078784</v>
      </c>
    </row>
    <row r="22" spans="1:11" ht="12.75">
      <c r="A22" s="769" t="s">
        <v>157</v>
      </c>
      <c r="B22" s="770"/>
      <c r="C22" s="771">
        <v>5972.1911617</v>
      </c>
      <c r="D22" s="772">
        <v>3947.9921428</v>
      </c>
      <c r="E22" s="771">
        <v>10565.5738767</v>
      </c>
      <c r="F22" s="771">
        <v>9879.4838403</v>
      </c>
      <c r="G22" s="771">
        <v>10958.989255299999</v>
      </c>
      <c r="H22" s="772">
        <v>10093.161670360001</v>
      </c>
      <c r="I22" s="773">
        <v>9312.808848699999</v>
      </c>
      <c r="J22" s="774">
        <v>7589.355189999999</v>
      </c>
      <c r="K22" s="718">
        <f t="shared" si="7"/>
        <v>68319.55598585999</v>
      </c>
    </row>
    <row r="23" spans="1:11" ht="12.75">
      <c r="A23" s="769" t="s">
        <v>158</v>
      </c>
      <c r="B23" s="770"/>
      <c r="C23" s="771">
        <v>7676.3988901</v>
      </c>
      <c r="D23" s="772">
        <v>3139.9798762</v>
      </c>
      <c r="E23" s="771">
        <v>3366.7039958</v>
      </c>
      <c r="F23" s="771">
        <v>11730.380668799997</v>
      </c>
      <c r="G23" s="771">
        <v>9469.3115676</v>
      </c>
      <c r="H23" s="772">
        <v>12944.36418838</v>
      </c>
      <c r="I23" s="773">
        <v>13365.5184321</v>
      </c>
      <c r="J23" s="774">
        <v>11634.651554000002</v>
      </c>
      <c r="K23" s="718">
        <f t="shared" si="7"/>
        <v>73327.30917297999</v>
      </c>
    </row>
    <row r="24" spans="1:11" ht="12.75">
      <c r="A24" s="769" t="s">
        <v>117</v>
      </c>
      <c r="B24" s="770"/>
      <c r="C24" s="771">
        <v>524.7727007</v>
      </c>
      <c r="D24" s="772">
        <v>876.9767318</v>
      </c>
      <c r="E24" s="771">
        <v>1339.761953</v>
      </c>
      <c r="F24" s="771">
        <v>1255.3627548</v>
      </c>
      <c r="G24" s="771">
        <v>1379.6073763</v>
      </c>
      <c r="H24" s="772">
        <v>1056.8751904599999</v>
      </c>
      <c r="I24" s="773">
        <v>851.5179736</v>
      </c>
      <c r="J24" s="774">
        <v>979.67975648</v>
      </c>
      <c r="K24" s="718">
        <f t="shared" si="7"/>
        <v>8264.554437140001</v>
      </c>
    </row>
    <row r="25" spans="1:11" ht="12.75">
      <c r="A25" s="769" t="s">
        <v>159</v>
      </c>
      <c r="B25" s="770"/>
      <c r="C25" s="771">
        <v>10055.0149284</v>
      </c>
      <c r="D25" s="772">
        <v>10993.679322</v>
      </c>
      <c r="E25" s="771">
        <v>12444.9753803</v>
      </c>
      <c r="F25" s="771">
        <v>12335.209028199999</v>
      </c>
      <c r="G25" s="771">
        <v>12187.1131413</v>
      </c>
      <c r="H25" s="772">
        <v>12178.112345489997</v>
      </c>
      <c r="I25" s="773">
        <v>12514.804589000001</v>
      </c>
      <c r="J25" s="774">
        <v>12297.047789999997</v>
      </c>
      <c r="K25" s="718">
        <f t="shared" si="7"/>
        <v>95005.95652469</v>
      </c>
    </row>
    <row r="26" spans="1:11" ht="12.75">
      <c r="A26" s="769" t="s">
        <v>350</v>
      </c>
      <c r="B26" s="770"/>
      <c r="C26" s="771"/>
      <c r="D26" s="772"/>
      <c r="E26" s="771">
        <v>8.3140489</v>
      </c>
      <c r="F26" s="771">
        <v>29.90023540000001</v>
      </c>
      <c r="G26" s="771">
        <v>33.9878322</v>
      </c>
      <c r="H26" s="772">
        <v>40.62856068999999</v>
      </c>
      <c r="I26" s="773">
        <v>44.41894600000002</v>
      </c>
      <c r="J26" s="774">
        <v>1135.89332</v>
      </c>
      <c r="K26" s="718">
        <f t="shared" si="7"/>
        <v>1293.1429431899999</v>
      </c>
    </row>
    <row r="27" spans="1:11" ht="12.75">
      <c r="A27" s="769" t="s">
        <v>203</v>
      </c>
      <c r="B27" s="770"/>
      <c r="C27" s="771">
        <v>1000.8381513</v>
      </c>
      <c r="D27" s="772">
        <v>935.3332027</v>
      </c>
      <c r="E27" s="771">
        <v>1042.9248298</v>
      </c>
      <c r="F27" s="771">
        <v>958.4704002</v>
      </c>
      <c r="G27" s="771">
        <v>1009.1621950000002</v>
      </c>
      <c r="H27" s="772">
        <v>921.1342940499999</v>
      </c>
      <c r="I27" s="773">
        <v>1045.2242757000001</v>
      </c>
      <c r="J27" s="774">
        <v>967.432871</v>
      </c>
      <c r="K27" s="718">
        <f t="shared" si="7"/>
        <v>7880.52021975</v>
      </c>
    </row>
    <row r="28" spans="1:11" ht="12.75">
      <c r="A28" s="769" t="s">
        <v>160</v>
      </c>
      <c r="B28" s="770"/>
      <c r="C28" s="771">
        <v>38.74076419999999</v>
      </c>
      <c r="D28" s="772">
        <v>3.856318000000001</v>
      </c>
      <c r="E28" s="771">
        <v>4.7919679</v>
      </c>
      <c r="F28" s="771">
        <v>11.460734699999998</v>
      </c>
      <c r="G28" s="771">
        <v>20.815811999999998</v>
      </c>
      <c r="H28" s="772">
        <v>28.529158919999997</v>
      </c>
      <c r="I28" s="773">
        <v>33.3553656</v>
      </c>
      <c r="J28" s="774">
        <v>38.41539722</v>
      </c>
      <c r="K28" s="718">
        <f t="shared" si="7"/>
        <v>179.96551854</v>
      </c>
    </row>
    <row r="29" spans="1:11" ht="12.75">
      <c r="A29" s="769" t="s">
        <v>161</v>
      </c>
      <c r="B29" s="770"/>
      <c r="C29" s="775">
        <v>0</v>
      </c>
      <c r="D29" s="775">
        <v>0</v>
      </c>
      <c r="E29" s="775">
        <v>0</v>
      </c>
      <c r="F29" s="775">
        <v>0</v>
      </c>
      <c r="G29" s="775">
        <v>0</v>
      </c>
      <c r="H29" s="776">
        <v>0</v>
      </c>
      <c r="I29" s="773">
        <v>7.4501162</v>
      </c>
      <c r="J29" s="774">
        <v>47.98913038</v>
      </c>
      <c r="K29" s="777">
        <f t="shared" si="7"/>
        <v>55.43924658</v>
      </c>
    </row>
    <row r="30" spans="1:11" ht="12.75">
      <c r="A30" s="769" t="s">
        <v>204</v>
      </c>
      <c r="B30" s="770"/>
      <c r="C30" s="771">
        <v>12.098518400000001</v>
      </c>
      <c r="D30" s="772">
        <v>17.1645746</v>
      </c>
      <c r="E30" s="771">
        <v>15.811735599999997</v>
      </c>
      <c r="F30" s="771">
        <v>23.618202500000002</v>
      </c>
      <c r="G30" s="771">
        <v>17.3770723</v>
      </c>
      <c r="H30" s="772">
        <v>14.92001296</v>
      </c>
      <c r="I30" s="773">
        <v>11.725265799999999</v>
      </c>
      <c r="J30" s="774">
        <v>50.14444000000001</v>
      </c>
      <c r="K30" s="718">
        <f t="shared" si="7"/>
        <v>162.85982216000002</v>
      </c>
    </row>
    <row r="31" spans="1:11" ht="12.75">
      <c r="A31" s="769" t="s">
        <v>351</v>
      </c>
      <c r="B31" s="770"/>
      <c r="C31" s="771">
        <v>1.9354</v>
      </c>
      <c r="D31" s="772">
        <v>2.5141519100000007</v>
      </c>
      <c r="E31" s="771">
        <v>4.756489999999999</v>
      </c>
      <c r="F31" s="771">
        <v>0</v>
      </c>
      <c r="G31" s="771">
        <v>0.8729885499999999</v>
      </c>
      <c r="H31" s="772">
        <v>11.741429589999997</v>
      </c>
      <c r="I31" s="773">
        <v>10.563549340000003</v>
      </c>
      <c r="J31" s="774">
        <v>48.369837069999996</v>
      </c>
      <c r="K31" s="718">
        <f t="shared" si="7"/>
        <v>80.75384646</v>
      </c>
    </row>
    <row r="32" spans="1:11" ht="12.75">
      <c r="A32" s="769" t="s">
        <v>162</v>
      </c>
      <c r="B32" s="770"/>
      <c r="C32" s="771">
        <v>4983.9987374</v>
      </c>
      <c r="D32" s="772">
        <v>4492.8519795</v>
      </c>
      <c r="E32" s="771">
        <v>5066.5355724</v>
      </c>
      <c r="F32" s="771">
        <v>5022.0626928</v>
      </c>
      <c r="G32" s="771">
        <v>5364.736982299999</v>
      </c>
      <c r="H32" s="772">
        <v>5220.72779671</v>
      </c>
      <c r="I32" s="773">
        <v>1553.0137476</v>
      </c>
      <c r="J32" s="774">
        <v>5128.267867</v>
      </c>
      <c r="K32" s="718">
        <f t="shared" si="7"/>
        <v>36832.195375710005</v>
      </c>
    </row>
    <row r="33" spans="1:11" ht="12.75">
      <c r="A33" s="769" t="s">
        <v>163</v>
      </c>
      <c r="B33" s="770"/>
      <c r="C33" s="771">
        <v>6401.8771739</v>
      </c>
      <c r="D33" s="772">
        <v>5588.650459</v>
      </c>
      <c r="E33" s="771">
        <v>6345.2497004</v>
      </c>
      <c r="F33" s="771">
        <v>6077.368009500001</v>
      </c>
      <c r="G33" s="771">
        <v>6352.6585557</v>
      </c>
      <c r="H33" s="772">
        <v>6279.2943824</v>
      </c>
      <c r="I33" s="773">
        <v>6392.509765999999</v>
      </c>
      <c r="J33" s="774">
        <v>5878.9282480500015</v>
      </c>
      <c r="K33" s="718">
        <f t="shared" si="7"/>
        <v>49316.536294950005</v>
      </c>
    </row>
    <row r="34" spans="1:11" ht="13.5" thickBot="1">
      <c r="A34" s="778" t="s">
        <v>118</v>
      </c>
      <c r="B34" s="779"/>
      <c r="C34" s="780">
        <f aca="true" t="shared" si="8" ref="C34:K34">SUM(C35:C37)</f>
        <v>692438.05831</v>
      </c>
      <c r="D34" s="780">
        <f t="shared" si="8"/>
        <v>522475.3025</v>
      </c>
      <c r="E34" s="780">
        <f t="shared" si="8"/>
        <v>495307.92254</v>
      </c>
      <c r="F34" s="780">
        <f t="shared" si="8"/>
        <v>449277.96718</v>
      </c>
      <c r="G34" s="780">
        <f t="shared" si="8"/>
        <v>435907.4997416999</v>
      </c>
      <c r="H34" s="781">
        <f t="shared" si="8"/>
        <v>462269.4949370369</v>
      </c>
      <c r="I34" s="780">
        <f t="shared" si="8"/>
        <v>518713.7063467687</v>
      </c>
      <c r="J34" s="780">
        <f t="shared" si="8"/>
        <v>534765.4647061052</v>
      </c>
      <c r="K34" s="782">
        <f t="shared" si="8"/>
        <v>4111155.4162616106</v>
      </c>
    </row>
    <row r="35" spans="1:11" ht="12.75">
      <c r="A35" s="783" t="s">
        <v>119</v>
      </c>
      <c r="B35" s="784"/>
      <c r="C35" s="785">
        <v>549261.86479</v>
      </c>
      <c r="D35" s="786">
        <v>413733.28195</v>
      </c>
      <c r="E35" s="787">
        <v>392097.30836</v>
      </c>
      <c r="F35" s="787">
        <v>357402.51483999996</v>
      </c>
      <c r="G35" s="787">
        <v>348504.65550299984</v>
      </c>
      <c r="H35" s="788">
        <v>374366.1705085469</v>
      </c>
      <c r="I35" s="788">
        <v>424175.8470763487</v>
      </c>
      <c r="J35" s="786">
        <v>439650.66095862514</v>
      </c>
      <c r="K35" s="788">
        <f>SUM(C35:J35)</f>
        <v>3299192.3039865205</v>
      </c>
    </row>
    <row r="36" spans="1:11" ht="12.75">
      <c r="A36" s="789" t="s">
        <v>120</v>
      </c>
      <c r="B36" s="790"/>
      <c r="C36" s="791">
        <v>91091.64593</v>
      </c>
      <c r="D36" s="792">
        <v>69495.32459999999</v>
      </c>
      <c r="E36" s="793">
        <v>67188.08157</v>
      </c>
      <c r="F36" s="793">
        <v>59547.49621</v>
      </c>
      <c r="G36" s="793">
        <v>56168.4776658</v>
      </c>
      <c r="H36" s="793">
        <v>57229.35553399</v>
      </c>
      <c r="I36" s="793">
        <f>61732.43177372-115.46273</f>
        <v>61616.969043720004</v>
      </c>
      <c r="J36" s="792">
        <f>63114.9009216-121.44499507</f>
        <v>62993.45592653</v>
      </c>
      <c r="K36" s="793">
        <f>SUM(C36:J36)</f>
        <v>525330.80648004</v>
      </c>
    </row>
    <row r="37" spans="1:11" ht="13.5" thickBot="1">
      <c r="A37" s="794" t="s">
        <v>121</v>
      </c>
      <c r="B37" s="795"/>
      <c r="C37" s="796">
        <v>52084.54759</v>
      </c>
      <c r="D37" s="797">
        <v>39246.69595</v>
      </c>
      <c r="E37" s="798">
        <v>36022.53261</v>
      </c>
      <c r="F37" s="798">
        <v>32327.95613</v>
      </c>
      <c r="G37" s="798">
        <v>31234.366572900006</v>
      </c>
      <c r="H37" s="798">
        <v>30673.9688945</v>
      </c>
      <c r="I37" s="798">
        <f>32964.1152267-43.225</f>
        <v>32920.8902267</v>
      </c>
      <c r="J37" s="797">
        <f>32169.33382095-47.986</f>
        <v>32121.34782095</v>
      </c>
      <c r="K37" s="798">
        <f>SUM(C37:J37)</f>
        <v>286632.30579505</v>
      </c>
    </row>
    <row r="38" spans="1:11" ht="12.75">
      <c r="A38" s="1010"/>
      <c r="B38" s="1011"/>
      <c r="C38" s="1010"/>
      <c r="D38" s="1010"/>
      <c r="E38" s="1010"/>
      <c r="F38" s="1010"/>
      <c r="G38" s="1010"/>
      <c r="H38" s="1010"/>
      <c r="I38" s="1010"/>
      <c r="J38" s="1010"/>
      <c r="K38" s="1010"/>
    </row>
    <row r="39" spans="1:12" ht="12.75">
      <c r="A39" s="1010"/>
      <c r="B39" s="1011"/>
      <c r="C39" s="1010"/>
      <c r="D39" s="1010"/>
      <c r="E39" s="1010"/>
      <c r="F39" s="1010"/>
      <c r="G39" s="1132" t="s">
        <v>441</v>
      </c>
      <c r="H39" s="1132"/>
      <c r="I39" s="1132"/>
      <c r="J39" s="1132"/>
      <c r="K39" s="1014"/>
      <c r="L39" s="1014"/>
    </row>
    <row r="40" spans="1:11" ht="12.75">
      <c r="A40" s="1010"/>
      <c r="B40" s="1011"/>
      <c r="C40" s="1010"/>
      <c r="D40" s="1010"/>
      <c r="E40" s="1010"/>
      <c r="F40" s="1010"/>
      <c r="G40" s="1010"/>
      <c r="H40" s="1010"/>
      <c r="I40" s="1010"/>
      <c r="J40" s="1010"/>
      <c r="K40" s="1010"/>
    </row>
  </sheetData>
  <sheetProtection/>
  <mergeCells count="1">
    <mergeCell ref="G39:J39"/>
  </mergeCells>
  <printOptions/>
  <pageMargins left="0.25" right="0.25" top="0.75" bottom="0.75" header="0.3" footer="0.3"/>
  <pageSetup orientation="landscape" scale="6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6"/>
  <sheetViews>
    <sheetView view="pageBreakPreview" zoomScale="115" zoomScaleSheetLayoutView="115" zoomScalePageLayoutView="0" workbookViewId="0" topLeftCell="A1">
      <selection activeCell="A19" sqref="A19:B19"/>
    </sheetView>
  </sheetViews>
  <sheetFormatPr defaultColWidth="30.7109375" defaultRowHeight="15"/>
  <cols>
    <col min="1" max="1" width="3.421875" style="682" bestFit="1" customWidth="1"/>
    <col min="2" max="2" width="44.28125" style="682" customWidth="1"/>
    <col min="3" max="3" width="14.00390625" style="682" bestFit="1" customWidth="1"/>
    <col min="4" max="5" width="14.140625" style="682" bestFit="1" customWidth="1"/>
    <col min="6" max="6" width="14.8515625" style="682" bestFit="1" customWidth="1"/>
    <col min="7" max="7" width="14.140625" style="682" bestFit="1" customWidth="1"/>
    <col min="8" max="8" width="14.421875" style="682" bestFit="1" customWidth="1"/>
    <col min="9" max="9" width="13.28125" style="682" bestFit="1" customWidth="1"/>
    <col min="10" max="10" width="13.00390625" style="682" bestFit="1" customWidth="1"/>
    <col min="11" max="11" width="29.8515625" style="682" bestFit="1" customWidth="1"/>
    <col min="12" max="12" width="11.57421875" style="682" bestFit="1" customWidth="1"/>
    <col min="13" max="16384" width="30.7109375" style="682" customWidth="1"/>
  </cols>
  <sheetData>
    <row r="1" spans="1:11" s="590" customFormat="1" ht="30" customHeight="1">
      <c r="A1" s="862"/>
      <c r="B1" s="862"/>
      <c r="C1" s="862"/>
      <c r="D1" s="862"/>
      <c r="E1" s="862"/>
      <c r="F1" s="862"/>
      <c r="G1" s="862"/>
      <c r="H1" s="862"/>
      <c r="I1" s="862"/>
      <c r="J1" s="862"/>
      <c r="K1" s="591"/>
    </row>
    <row r="2" spans="1:11" s="590" customFormat="1" ht="12.75">
      <c r="A2" s="592"/>
      <c r="B2" s="1153" t="s">
        <v>503</v>
      </c>
      <c r="C2" s="1153"/>
      <c r="D2" s="1153"/>
      <c r="E2" s="1153"/>
      <c r="F2" s="1153"/>
      <c r="G2" s="1153"/>
      <c r="H2" s="1153"/>
      <c r="I2" s="1153"/>
      <c r="J2" s="1153"/>
      <c r="K2" s="1153"/>
    </row>
    <row r="3" spans="2:11" s="590" customFormat="1" ht="43.5" customHeight="1" thickBot="1">
      <c r="B3" s="593"/>
      <c r="C3" s="593"/>
      <c r="D3" s="593"/>
      <c r="E3" s="594"/>
      <c r="F3" s="594"/>
      <c r="G3" s="594"/>
      <c r="H3" s="594"/>
      <c r="I3" s="595"/>
      <c r="J3" s="595"/>
      <c r="K3" s="596"/>
    </row>
    <row r="4" spans="1:11" s="599" customFormat="1" ht="14.25" thickBot="1" thickTop="1">
      <c r="A4" s="1164"/>
      <c r="B4" s="1165"/>
      <c r="C4" s="597" t="s">
        <v>496</v>
      </c>
      <c r="D4" s="597" t="s">
        <v>497</v>
      </c>
      <c r="E4" s="597" t="s">
        <v>498</v>
      </c>
      <c r="F4" s="597" t="s">
        <v>499</v>
      </c>
      <c r="G4" s="597" t="s">
        <v>93</v>
      </c>
      <c r="H4" s="597" t="s">
        <v>500</v>
      </c>
      <c r="I4" s="597" t="s">
        <v>501</v>
      </c>
      <c r="J4" s="597" t="s">
        <v>502</v>
      </c>
      <c r="K4" s="598" t="s">
        <v>364</v>
      </c>
    </row>
    <row r="5" spans="1:11" s="599" customFormat="1" ht="13.5" thickTop="1">
      <c r="A5" s="1166" t="s">
        <v>495</v>
      </c>
      <c r="B5" s="1167"/>
      <c r="C5" s="600">
        <v>477788.516</v>
      </c>
      <c r="D5" s="600">
        <v>292067.159</v>
      </c>
      <c r="E5" s="600">
        <v>297921.961</v>
      </c>
      <c r="F5" s="601">
        <v>363384.92515</v>
      </c>
      <c r="G5" s="601">
        <v>199863.053</v>
      </c>
      <c r="H5" s="601">
        <v>399077.442</v>
      </c>
      <c r="I5" s="602">
        <v>151754.34475</v>
      </c>
      <c r="J5" s="602">
        <v>96941.75</v>
      </c>
      <c r="K5" s="603">
        <f aca="true" t="shared" si="0" ref="K5:K24">SUM(C5:J5)</f>
        <v>2278799.1509000002</v>
      </c>
    </row>
    <row r="6" spans="1:12" s="599" customFormat="1" ht="12.75">
      <c r="A6" s="1168" t="s">
        <v>504</v>
      </c>
      <c r="B6" s="1169"/>
      <c r="C6" s="604">
        <f aca="true" t="shared" si="1" ref="C6:J6">SUM(C7:C18)</f>
        <v>20610.293</v>
      </c>
      <c r="D6" s="604">
        <f t="shared" si="1"/>
        <v>41426.224</v>
      </c>
      <c r="E6" s="604">
        <f t="shared" si="1"/>
        <v>54345.672000000006</v>
      </c>
      <c r="F6" s="604">
        <f t="shared" si="1"/>
        <v>18851.254</v>
      </c>
      <c r="G6" s="604">
        <f t="shared" si="1"/>
        <v>16888.692</v>
      </c>
      <c r="H6" s="604">
        <f t="shared" si="1"/>
        <v>12238.14</v>
      </c>
      <c r="I6" s="604">
        <f t="shared" si="1"/>
        <v>22009.974000000002</v>
      </c>
      <c r="J6" s="604">
        <f t="shared" si="1"/>
        <v>23199.944</v>
      </c>
      <c r="K6" s="605">
        <f t="shared" si="0"/>
        <v>209570.193</v>
      </c>
      <c r="L6" s="606"/>
    </row>
    <row r="7" spans="1:12" s="599" customFormat="1" ht="12.75">
      <c r="A7" s="607">
        <v>1</v>
      </c>
      <c r="B7" s="608" t="s">
        <v>152</v>
      </c>
      <c r="C7" s="609">
        <v>19384.028</v>
      </c>
      <c r="D7" s="609">
        <v>39819.025</v>
      </c>
      <c r="E7" s="609">
        <v>53011.238</v>
      </c>
      <c r="F7" s="609">
        <v>13870.69</v>
      </c>
      <c r="G7" s="609">
        <v>12552.935</v>
      </c>
      <c r="H7" s="609">
        <v>9298.1</v>
      </c>
      <c r="I7" s="610">
        <v>19084.838</v>
      </c>
      <c r="J7" s="610">
        <v>20097.687</v>
      </c>
      <c r="K7" s="611">
        <f t="shared" si="0"/>
        <v>187118.541</v>
      </c>
      <c r="L7" s="606"/>
    </row>
    <row r="8" spans="1:11" s="599" customFormat="1" ht="12.75">
      <c r="A8" s="612">
        <v>2</v>
      </c>
      <c r="B8" s="613" t="s">
        <v>365</v>
      </c>
      <c r="C8" s="614">
        <v>150.711</v>
      </c>
      <c r="D8" s="614">
        <v>614.991</v>
      </c>
      <c r="E8" s="614">
        <v>247.765</v>
      </c>
      <c r="F8" s="614">
        <v>456.512</v>
      </c>
      <c r="G8" s="614">
        <v>59.381</v>
      </c>
      <c r="H8" s="614">
        <v>0</v>
      </c>
      <c r="I8" s="615">
        <v>85.478</v>
      </c>
      <c r="J8" s="615">
        <v>9.027</v>
      </c>
      <c r="K8" s="616">
        <f t="shared" si="0"/>
        <v>1623.8650000000002</v>
      </c>
    </row>
    <row r="9" spans="1:11" s="599" customFormat="1" ht="12.75">
      <c r="A9" s="612">
        <v>3</v>
      </c>
      <c r="B9" s="613" t="s">
        <v>513</v>
      </c>
      <c r="C9" s="614">
        <v>0</v>
      </c>
      <c r="D9" s="614">
        <v>0</v>
      </c>
      <c r="E9" s="614">
        <v>0</v>
      </c>
      <c r="F9" s="614">
        <v>0</v>
      </c>
      <c r="G9" s="614">
        <v>0</v>
      </c>
      <c r="H9" s="614">
        <v>108.05</v>
      </c>
      <c r="I9" s="615" t="s">
        <v>325</v>
      </c>
      <c r="J9" s="615" t="s">
        <v>325</v>
      </c>
      <c r="K9" s="616">
        <f t="shared" si="0"/>
        <v>108.05</v>
      </c>
    </row>
    <row r="10" spans="1:11" s="599" customFormat="1" ht="12.75">
      <c r="A10" s="612">
        <v>4</v>
      </c>
      <c r="B10" s="613" t="s">
        <v>366</v>
      </c>
      <c r="C10" s="614">
        <v>112.625</v>
      </c>
      <c r="D10" s="614">
        <v>129.905</v>
      </c>
      <c r="E10" s="614">
        <v>146.1</v>
      </c>
      <c r="F10" s="614">
        <v>1627.653</v>
      </c>
      <c r="G10" s="614">
        <v>976.398</v>
      </c>
      <c r="H10" s="614">
        <v>518.036</v>
      </c>
      <c r="I10" s="615">
        <v>690.083</v>
      </c>
      <c r="J10" s="615">
        <v>377.639</v>
      </c>
      <c r="K10" s="616">
        <f t="shared" si="0"/>
        <v>4578.439</v>
      </c>
    </row>
    <row r="11" spans="1:11" s="599" customFormat="1" ht="12.75">
      <c r="A11" s="612">
        <v>5</v>
      </c>
      <c r="B11" s="613" t="s">
        <v>144</v>
      </c>
      <c r="C11" s="614">
        <v>219.2</v>
      </c>
      <c r="D11" s="614">
        <v>187.75</v>
      </c>
      <c r="E11" s="614">
        <v>346.139</v>
      </c>
      <c r="F11" s="614">
        <v>616.764</v>
      </c>
      <c r="G11" s="614">
        <v>331.687</v>
      </c>
      <c r="H11" s="614">
        <v>265.461</v>
      </c>
      <c r="I11" s="615">
        <v>586.583</v>
      </c>
      <c r="J11" s="615">
        <v>620.602</v>
      </c>
      <c r="K11" s="616">
        <f t="shared" si="0"/>
        <v>3174.1859999999997</v>
      </c>
    </row>
    <row r="12" spans="1:11" s="599" customFormat="1" ht="12.75">
      <c r="A12" s="612">
        <v>6</v>
      </c>
      <c r="B12" s="613" t="s">
        <v>178</v>
      </c>
      <c r="C12" s="614">
        <v>157.768</v>
      </c>
      <c r="D12" s="614">
        <v>57.248</v>
      </c>
      <c r="E12" s="614">
        <v>344.266</v>
      </c>
      <c r="F12" s="614">
        <v>1514.211</v>
      </c>
      <c r="G12" s="614">
        <v>2117.787</v>
      </c>
      <c r="H12" s="614">
        <v>952.17</v>
      </c>
      <c r="I12" s="615">
        <v>386.97</v>
      </c>
      <c r="J12" s="615">
        <v>1061.155</v>
      </c>
      <c r="K12" s="616">
        <f t="shared" si="0"/>
        <v>6591.575</v>
      </c>
    </row>
    <row r="13" spans="1:11" s="599" customFormat="1" ht="12.75">
      <c r="A13" s="612">
        <v>7</v>
      </c>
      <c r="B13" s="613" t="s">
        <v>367</v>
      </c>
      <c r="C13" s="614">
        <v>0</v>
      </c>
      <c r="D13" s="614">
        <v>0</v>
      </c>
      <c r="E13" s="614">
        <v>0</v>
      </c>
      <c r="F13" s="614">
        <v>125.026</v>
      </c>
      <c r="G13" s="614">
        <v>33.338</v>
      </c>
      <c r="H13" s="614">
        <v>7.661</v>
      </c>
      <c r="I13" s="615">
        <v>112.616</v>
      </c>
      <c r="J13" s="615">
        <v>155.633</v>
      </c>
      <c r="K13" s="616">
        <f t="shared" si="0"/>
        <v>434.274</v>
      </c>
    </row>
    <row r="14" spans="1:11" s="599" customFormat="1" ht="12.75">
      <c r="A14" s="612">
        <v>8</v>
      </c>
      <c r="B14" s="613" t="s">
        <v>368</v>
      </c>
      <c r="C14" s="614">
        <v>0</v>
      </c>
      <c r="D14" s="614">
        <v>0</v>
      </c>
      <c r="E14" s="614">
        <v>0</v>
      </c>
      <c r="F14" s="614">
        <v>0</v>
      </c>
      <c r="G14" s="614">
        <v>0</v>
      </c>
      <c r="H14" s="614">
        <v>0</v>
      </c>
      <c r="I14" s="615" t="s">
        <v>325</v>
      </c>
      <c r="J14" s="615" t="s">
        <v>325</v>
      </c>
      <c r="K14" s="616">
        <f t="shared" si="0"/>
        <v>0</v>
      </c>
    </row>
    <row r="15" spans="1:11" s="599" customFormat="1" ht="12.75">
      <c r="A15" s="612">
        <v>9</v>
      </c>
      <c r="B15" s="613" t="s">
        <v>369</v>
      </c>
      <c r="C15" s="614">
        <v>44.598</v>
      </c>
      <c r="D15" s="614">
        <v>62.9</v>
      </c>
      <c r="E15" s="614">
        <v>40.711</v>
      </c>
      <c r="F15" s="614">
        <v>32.068</v>
      </c>
      <c r="G15" s="614">
        <v>21.137</v>
      </c>
      <c r="H15" s="614">
        <v>19.512</v>
      </c>
      <c r="I15" s="615">
        <v>25.133</v>
      </c>
      <c r="J15" s="615">
        <v>14.63</v>
      </c>
      <c r="K15" s="616">
        <f t="shared" si="0"/>
        <v>260.689</v>
      </c>
    </row>
    <row r="16" spans="1:11" s="599" customFormat="1" ht="12.75">
      <c r="A16" s="612">
        <v>10</v>
      </c>
      <c r="B16" s="613" t="s">
        <v>370</v>
      </c>
      <c r="C16" s="614">
        <v>358.446</v>
      </c>
      <c r="D16" s="614">
        <v>554.405</v>
      </c>
      <c r="E16" s="614">
        <v>0</v>
      </c>
      <c r="F16" s="614">
        <v>539.297</v>
      </c>
      <c r="G16" s="614">
        <v>688.402</v>
      </c>
      <c r="H16" s="614">
        <v>1006.073</v>
      </c>
      <c r="I16" s="615">
        <v>1002.158</v>
      </c>
      <c r="J16" s="615">
        <v>831.122</v>
      </c>
      <c r="K16" s="616">
        <f t="shared" si="0"/>
        <v>4979.903</v>
      </c>
    </row>
    <row r="17" spans="1:11" s="599" customFormat="1" ht="12.75">
      <c r="A17" s="612">
        <v>11</v>
      </c>
      <c r="B17" s="613" t="s">
        <v>371</v>
      </c>
      <c r="C17" s="614">
        <v>182.917</v>
      </c>
      <c r="D17" s="614">
        <v>0</v>
      </c>
      <c r="E17" s="614">
        <v>209.453</v>
      </c>
      <c r="F17" s="614">
        <v>69.033</v>
      </c>
      <c r="G17" s="614">
        <v>107.627</v>
      </c>
      <c r="H17" s="614">
        <v>63.077</v>
      </c>
      <c r="I17" s="615">
        <v>36.115</v>
      </c>
      <c r="J17" s="615">
        <v>32.449</v>
      </c>
      <c r="K17" s="616">
        <f t="shared" si="0"/>
        <v>700.6709999999999</v>
      </c>
    </row>
    <row r="18" spans="1:11" s="599" customFormat="1" ht="12.75">
      <c r="A18" s="617">
        <v>12</v>
      </c>
      <c r="B18" s="618" t="s">
        <v>372</v>
      </c>
      <c r="C18" s="619">
        <v>0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20" t="s">
        <v>325</v>
      </c>
      <c r="J18" s="620" t="s">
        <v>325</v>
      </c>
      <c r="K18" s="621">
        <f t="shared" si="0"/>
        <v>0</v>
      </c>
    </row>
    <row r="19" spans="1:11" s="599" customFormat="1" ht="12.75">
      <c r="A19" s="1162" t="s">
        <v>505</v>
      </c>
      <c r="B19" s="1163"/>
      <c r="C19" s="622">
        <v>0</v>
      </c>
      <c r="D19" s="622">
        <v>0</v>
      </c>
      <c r="E19" s="622">
        <v>0</v>
      </c>
      <c r="F19" s="622">
        <v>15120</v>
      </c>
      <c r="G19" s="622">
        <v>0</v>
      </c>
      <c r="H19" s="622">
        <v>18450</v>
      </c>
      <c r="I19" s="624">
        <v>0</v>
      </c>
      <c r="J19" s="624">
        <v>0</v>
      </c>
      <c r="K19" s="605">
        <f t="shared" si="0"/>
        <v>33570</v>
      </c>
    </row>
    <row r="20" spans="1:11" s="599" customFormat="1" ht="12.75">
      <c r="A20" s="1170" t="s">
        <v>510</v>
      </c>
      <c r="B20" s="1171"/>
      <c r="C20" s="625">
        <f aca="true" t="shared" si="2" ref="C20:J20">SUM(C21:C23)</f>
        <v>6350</v>
      </c>
      <c r="D20" s="625">
        <f t="shared" si="2"/>
        <v>6174</v>
      </c>
      <c r="E20" s="625">
        <f t="shared" si="2"/>
        <v>8936</v>
      </c>
      <c r="F20" s="625">
        <f t="shared" si="2"/>
        <v>6515</v>
      </c>
      <c r="G20" s="625">
        <f t="shared" si="2"/>
        <v>6883</v>
      </c>
      <c r="H20" s="625">
        <f t="shared" si="2"/>
        <v>6922</v>
      </c>
      <c r="I20" s="625">
        <f t="shared" si="2"/>
        <v>7137</v>
      </c>
      <c r="J20" s="625">
        <f t="shared" si="2"/>
        <v>6894</v>
      </c>
      <c r="K20" s="626">
        <f t="shared" si="0"/>
        <v>55811</v>
      </c>
    </row>
    <row r="21" spans="1:11" s="599" customFormat="1" ht="12.75">
      <c r="A21" s="627">
        <v>1</v>
      </c>
      <c r="B21" s="608" t="s">
        <v>373</v>
      </c>
      <c r="C21" s="628">
        <v>1900</v>
      </c>
      <c r="D21" s="628">
        <v>133</v>
      </c>
      <c r="E21" s="628">
        <v>936</v>
      </c>
      <c r="F21" s="628">
        <v>72</v>
      </c>
      <c r="G21" s="628">
        <v>0</v>
      </c>
      <c r="H21" s="628">
        <v>0</v>
      </c>
      <c r="I21" s="629">
        <v>479</v>
      </c>
      <c r="J21" s="629">
        <v>161</v>
      </c>
      <c r="K21" s="630">
        <f t="shared" si="0"/>
        <v>3681</v>
      </c>
    </row>
    <row r="22" spans="1:11" s="599" customFormat="1" ht="12.75">
      <c r="A22" s="631">
        <v>2</v>
      </c>
      <c r="B22" s="613" t="s">
        <v>178</v>
      </c>
      <c r="C22" s="632">
        <v>4450</v>
      </c>
      <c r="D22" s="632">
        <v>6041</v>
      </c>
      <c r="E22" s="632">
        <v>8000</v>
      </c>
      <c r="F22" s="632">
        <v>6443</v>
      </c>
      <c r="G22" s="632">
        <v>6883</v>
      </c>
      <c r="H22" s="632">
        <v>6922</v>
      </c>
      <c r="I22" s="633">
        <v>6658</v>
      </c>
      <c r="J22" s="633">
        <v>6733</v>
      </c>
      <c r="K22" s="634">
        <f t="shared" si="0"/>
        <v>52130</v>
      </c>
    </row>
    <row r="23" spans="1:11" s="599" customFormat="1" ht="13.5" thickBot="1">
      <c r="A23" s="635">
        <v>3</v>
      </c>
      <c r="B23" s="636" t="s">
        <v>181</v>
      </c>
      <c r="C23" s="637">
        <v>0</v>
      </c>
      <c r="D23" s="637">
        <v>0</v>
      </c>
      <c r="E23" s="637">
        <v>0</v>
      </c>
      <c r="F23" s="637">
        <v>0</v>
      </c>
      <c r="G23" s="637">
        <v>0</v>
      </c>
      <c r="H23" s="637">
        <v>0</v>
      </c>
      <c r="I23" s="638">
        <v>0</v>
      </c>
      <c r="J23" s="638">
        <v>0</v>
      </c>
      <c r="K23" s="639">
        <f t="shared" si="0"/>
        <v>0</v>
      </c>
    </row>
    <row r="24" spans="1:11" s="599" customFormat="1" ht="14.25" thickBot="1" thickTop="1">
      <c r="A24" s="1154" t="s">
        <v>506</v>
      </c>
      <c r="B24" s="1155"/>
      <c r="C24" s="640">
        <f>C20+C19+C6+C5</f>
        <v>504748.809</v>
      </c>
      <c r="D24" s="640">
        <f aca="true" t="shared" si="3" ref="D24:J24">D20+D19+D6+D5</f>
        <v>339667.383</v>
      </c>
      <c r="E24" s="640">
        <f t="shared" si="3"/>
        <v>361203.63300000003</v>
      </c>
      <c r="F24" s="640">
        <f t="shared" si="3"/>
        <v>403871.17915000004</v>
      </c>
      <c r="G24" s="640">
        <f t="shared" si="3"/>
        <v>223634.74500000002</v>
      </c>
      <c r="H24" s="640">
        <f t="shared" si="3"/>
        <v>436687.582</v>
      </c>
      <c r="I24" s="640">
        <f t="shared" si="3"/>
        <v>180901.31874999998</v>
      </c>
      <c r="J24" s="640">
        <f t="shared" si="3"/>
        <v>127035.694</v>
      </c>
      <c r="K24" s="641">
        <f t="shared" si="0"/>
        <v>2577750.3439000007</v>
      </c>
    </row>
    <row r="25" spans="1:11" s="599" customFormat="1" ht="14.25" thickBot="1" thickTop="1">
      <c r="A25" s="1156"/>
      <c r="B25" s="1157"/>
      <c r="C25" s="1157"/>
      <c r="D25" s="1157"/>
      <c r="E25" s="1157"/>
      <c r="F25" s="1157"/>
      <c r="G25" s="1157"/>
      <c r="H25" s="1157"/>
      <c r="I25" s="1157"/>
      <c r="J25" s="1157"/>
      <c r="K25" s="1158"/>
    </row>
    <row r="26" spans="1:11" s="599" customFormat="1" ht="14.25" thickBot="1" thickTop="1">
      <c r="A26" s="1154" t="s">
        <v>507</v>
      </c>
      <c r="B26" s="1159"/>
      <c r="C26" s="642">
        <f>SUM(C27:C28)</f>
        <v>450000</v>
      </c>
      <c r="D26" s="642">
        <f>SUM(D27:D28)</f>
        <v>310000</v>
      </c>
      <c r="E26" s="642">
        <f aca="true" t="shared" si="4" ref="E26:J26">E27+E28</f>
        <v>330000</v>
      </c>
      <c r="F26" s="642">
        <f t="shared" si="4"/>
        <v>345000</v>
      </c>
      <c r="G26" s="642">
        <f t="shared" si="4"/>
        <v>175000</v>
      </c>
      <c r="H26" s="642">
        <f t="shared" si="4"/>
        <v>370000</v>
      </c>
      <c r="I26" s="642">
        <f t="shared" si="4"/>
        <v>136000</v>
      </c>
      <c r="J26" s="642">
        <f t="shared" si="4"/>
        <v>48789</v>
      </c>
      <c r="K26" s="643">
        <f aca="true" t="shared" si="5" ref="K26:K49">SUM(C26:J26)</f>
        <v>2164789</v>
      </c>
    </row>
    <row r="27" spans="1:14" s="647" customFormat="1" ht="14.25" thickBot="1" thickTop="1">
      <c r="A27" s="1160" t="s">
        <v>508</v>
      </c>
      <c r="B27" s="1161"/>
      <c r="C27" s="644">
        <v>450000</v>
      </c>
      <c r="D27" s="644">
        <v>310000</v>
      </c>
      <c r="E27" s="644">
        <v>330000</v>
      </c>
      <c r="F27" s="644">
        <v>345000</v>
      </c>
      <c r="G27" s="644">
        <v>175000</v>
      </c>
      <c r="H27" s="644">
        <v>370000</v>
      </c>
      <c r="I27" s="645">
        <v>136000</v>
      </c>
      <c r="J27" s="645">
        <v>48789</v>
      </c>
      <c r="K27" s="646">
        <f t="shared" si="5"/>
        <v>2164789</v>
      </c>
      <c r="N27" s="648"/>
    </row>
    <row r="28" spans="1:11" s="647" customFormat="1" ht="12.75" customHeight="1" thickTop="1">
      <c r="A28" s="1160" t="s">
        <v>509</v>
      </c>
      <c r="B28" s="1161"/>
      <c r="C28" s="649">
        <v>0</v>
      </c>
      <c r="D28" s="649">
        <v>0</v>
      </c>
      <c r="E28" s="649">
        <v>0</v>
      </c>
      <c r="F28" s="649">
        <v>0</v>
      </c>
      <c r="G28" s="649">
        <v>0</v>
      </c>
      <c r="H28" s="649">
        <v>0</v>
      </c>
      <c r="I28" s="650">
        <v>0</v>
      </c>
      <c r="J28" s="650">
        <v>0</v>
      </c>
      <c r="K28" s="651">
        <f t="shared" si="5"/>
        <v>0</v>
      </c>
    </row>
    <row r="29" spans="1:11" s="652" customFormat="1" ht="12.75">
      <c r="A29" s="1162" t="s">
        <v>374</v>
      </c>
      <c r="B29" s="1163"/>
      <c r="C29" s="622">
        <v>0</v>
      </c>
      <c r="D29" s="622">
        <v>0</v>
      </c>
      <c r="E29" s="622">
        <v>0</v>
      </c>
      <c r="F29" s="622">
        <v>15120</v>
      </c>
      <c r="G29" s="622">
        <v>0</v>
      </c>
      <c r="H29" s="622">
        <v>18900</v>
      </c>
      <c r="I29" s="623">
        <v>0</v>
      </c>
      <c r="J29" s="623">
        <v>0</v>
      </c>
      <c r="K29" s="605">
        <f t="shared" si="5"/>
        <v>34020</v>
      </c>
    </row>
    <row r="30" spans="1:11" s="652" customFormat="1" ht="12.75">
      <c r="A30" s="1143" t="s">
        <v>511</v>
      </c>
      <c r="B30" s="1144"/>
      <c r="C30" s="653">
        <v>16207.187</v>
      </c>
      <c r="D30" s="653">
        <v>12302.138</v>
      </c>
      <c r="E30" s="653">
        <v>13896.888</v>
      </c>
      <c r="F30" s="653">
        <v>13614.829</v>
      </c>
      <c r="G30" s="653">
        <v>12001.27</v>
      </c>
      <c r="H30" s="653">
        <v>13364.392</v>
      </c>
      <c r="I30" s="654">
        <v>12531.95</v>
      </c>
      <c r="J30" s="654">
        <v>13886.293</v>
      </c>
      <c r="K30" s="655">
        <f t="shared" si="5"/>
        <v>107804.947</v>
      </c>
    </row>
    <row r="31" spans="1:11" s="652" customFormat="1" ht="12.75" customHeight="1">
      <c r="A31" s="1145" t="s">
        <v>512</v>
      </c>
      <c r="B31" s="1146"/>
      <c r="C31" s="656">
        <f aca="true" t="shared" si="6" ref="C31:J31">SUM(C32:C43)</f>
        <v>13347.528</v>
      </c>
      <c r="D31" s="656">
        <f t="shared" si="6"/>
        <v>3841.0792999999994</v>
      </c>
      <c r="E31" s="656">
        <f t="shared" si="6"/>
        <v>1447.3560000000002</v>
      </c>
      <c r="F31" s="656">
        <f t="shared" si="6"/>
        <v>8092.882</v>
      </c>
      <c r="G31" s="656">
        <f t="shared" si="6"/>
        <v>9217.926</v>
      </c>
      <c r="H31" s="656">
        <f t="shared" si="6"/>
        <v>10525.762999999999</v>
      </c>
      <c r="I31" s="656">
        <f t="shared" si="6"/>
        <v>7246.718000000001</v>
      </c>
      <c r="J31" s="656">
        <f t="shared" si="6"/>
        <v>35094.273</v>
      </c>
      <c r="K31" s="657">
        <f t="shared" si="5"/>
        <v>88813.52530000001</v>
      </c>
    </row>
    <row r="32" spans="1:12" s="652" customFormat="1" ht="12.75">
      <c r="A32" s="658">
        <v>1</v>
      </c>
      <c r="B32" s="659" t="s">
        <v>152</v>
      </c>
      <c r="C32" s="609">
        <v>6981.714</v>
      </c>
      <c r="D32" s="609">
        <v>2058.141</v>
      </c>
      <c r="E32" s="609">
        <v>478.092</v>
      </c>
      <c r="F32" s="609">
        <v>3982.675</v>
      </c>
      <c r="G32" s="609">
        <v>2754.86</v>
      </c>
      <c r="H32" s="609">
        <v>5364.743</v>
      </c>
      <c r="I32" s="660">
        <v>2230.549</v>
      </c>
      <c r="J32" s="660">
        <v>27669.329</v>
      </c>
      <c r="K32" s="630">
        <f t="shared" si="5"/>
        <v>51520.103</v>
      </c>
      <c r="L32" s="661"/>
    </row>
    <row r="33" spans="1:11" s="652" customFormat="1" ht="12.75">
      <c r="A33" s="662">
        <v>2</v>
      </c>
      <c r="B33" s="613" t="s">
        <v>365</v>
      </c>
      <c r="C33" s="614">
        <v>2692.502</v>
      </c>
      <c r="D33" s="614">
        <v>209.287</v>
      </c>
      <c r="E33" s="614">
        <v>86.395</v>
      </c>
      <c r="F33" s="614">
        <v>159.834</v>
      </c>
      <c r="G33" s="614">
        <v>719.205</v>
      </c>
      <c r="H33" s="614">
        <v>24.602</v>
      </c>
      <c r="I33" s="663">
        <v>30.834</v>
      </c>
      <c r="J33" s="663">
        <v>848.914</v>
      </c>
      <c r="K33" s="634">
        <f t="shared" si="5"/>
        <v>4771.572999999999</v>
      </c>
    </row>
    <row r="34" spans="1:11" s="652" customFormat="1" ht="12.75">
      <c r="A34" s="662">
        <v>3</v>
      </c>
      <c r="B34" s="613" t="s">
        <v>513</v>
      </c>
      <c r="C34" s="614">
        <v>38.741</v>
      </c>
      <c r="D34" s="664">
        <v>3.8563</v>
      </c>
      <c r="E34" s="614">
        <v>4.791</v>
      </c>
      <c r="F34" s="614">
        <v>11.46</v>
      </c>
      <c r="G34" s="614">
        <v>20.816</v>
      </c>
      <c r="H34" s="614">
        <v>28.529</v>
      </c>
      <c r="I34" s="663">
        <v>33.355</v>
      </c>
      <c r="J34" s="663">
        <v>38.415</v>
      </c>
      <c r="K34" s="634">
        <f t="shared" si="5"/>
        <v>179.96329999999998</v>
      </c>
    </row>
    <row r="35" spans="1:11" s="652" customFormat="1" ht="12.75">
      <c r="A35" s="662">
        <v>4</v>
      </c>
      <c r="B35" s="613" t="s">
        <v>366</v>
      </c>
      <c r="C35" s="614">
        <v>128.253</v>
      </c>
      <c r="D35" s="614">
        <v>107.717</v>
      </c>
      <c r="E35" s="614">
        <v>87.032</v>
      </c>
      <c r="F35" s="614">
        <v>1407.672</v>
      </c>
      <c r="G35" s="614">
        <v>1315.824</v>
      </c>
      <c r="H35" s="614">
        <v>1276.184</v>
      </c>
      <c r="I35" s="663">
        <v>1503.088</v>
      </c>
      <c r="J35" s="663">
        <v>1399.817</v>
      </c>
      <c r="K35" s="634">
        <f t="shared" si="5"/>
        <v>7225.5869999999995</v>
      </c>
    </row>
    <row r="36" spans="1:11" s="652" customFormat="1" ht="12.75">
      <c r="A36" s="662">
        <v>5</v>
      </c>
      <c r="B36" s="613" t="s">
        <v>144</v>
      </c>
      <c r="C36" s="614">
        <v>2509.39</v>
      </c>
      <c r="D36" s="614">
        <v>243.74</v>
      </c>
      <c r="E36" s="614">
        <v>333.963</v>
      </c>
      <c r="F36" s="614">
        <v>312.616</v>
      </c>
      <c r="G36" s="614">
        <v>1897.335</v>
      </c>
      <c r="H36" s="614">
        <v>1730.917</v>
      </c>
      <c r="I36" s="663">
        <v>1109.902</v>
      </c>
      <c r="J36" s="663">
        <v>2650.886</v>
      </c>
      <c r="K36" s="634">
        <f t="shared" si="5"/>
        <v>10788.749</v>
      </c>
    </row>
    <row r="37" spans="1:11" s="652" customFormat="1" ht="12.75">
      <c r="A37" s="662">
        <v>6</v>
      </c>
      <c r="B37" s="613" t="s">
        <v>178</v>
      </c>
      <c r="C37" s="614">
        <v>361.497</v>
      </c>
      <c r="D37" s="614">
        <v>185.232</v>
      </c>
      <c r="E37" s="614">
        <v>149.153</v>
      </c>
      <c r="F37" s="614">
        <v>802.711</v>
      </c>
      <c r="G37" s="614">
        <v>1144.695</v>
      </c>
      <c r="H37" s="614">
        <v>901.479</v>
      </c>
      <c r="I37" s="663">
        <v>1146.713</v>
      </c>
      <c r="J37" s="663">
        <v>748</v>
      </c>
      <c r="K37" s="634">
        <f t="shared" si="5"/>
        <v>5439.48</v>
      </c>
    </row>
    <row r="38" spans="1:11" s="652" customFormat="1" ht="12.75">
      <c r="A38" s="662">
        <v>7</v>
      </c>
      <c r="B38" s="613" t="s">
        <v>367</v>
      </c>
      <c r="C38" s="614">
        <v>0</v>
      </c>
      <c r="D38" s="614">
        <v>0</v>
      </c>
      <c r="E38" s="614">
        <v>0</v>
      </c>
      <c r="F38" s="614">
        <v>190.094</v>
      </c>
      <c r="G38" s="614">
        <v>274.075</v>
      </c>
      <c r="H38" s="614">
        <v>217.389</v>
      </c>
      <c r="I38" s="663">
        <v>294.63</v>
      </c>
      <c r="J38" s="663">
        <v>237.901</v>
      </c>
      <c r="K38" s="634">
        <f t="shared" si="5"/>
        <v>1214.089</v>
      </c>
    </row>
    <row r="39" spans="1:11" s="652" customFormat="1" ht="12.75">
      <c r="A39" s="662">
        <v>8</v>
      </c>
      <c r="B39" s="613" t="s">
        <v>368</v>
      </c>
      <c r="C39" s="614">
        <v>12.1</v>
      </c>
      <c r="D39" s="614">
        <v>17.165</v>
      </c>
      <c r="E39" s="614">
        <v>15.811</v>
      </c>
      <c r="F39" s="614">
        <v>23.618</v>
      </c>
      <c r="G39" s="614">
        <v>17.377</v>
      </c>
      <c r="H39" s="614">
        <v>14.92</v>
      </c>
      <c r="I39" s="663">
        <v>11.725</v>
      </c>
      <c r="J39" s="663">
        <v>50.144</v>
      </c>
      <c r="K39" s="634">
        <f t="shared" si="5"/>
        <v>162.85999999999999</v>
      </c>
    </row>
    <row r="40" spans="1:11" s="652" customFormat="1" ht="12.75">
      <c r="A40" s="662">
        <v>9</v>
      </c>
      <c r="B40" s="613" t="s">
        <v>369</v>
      </c>
      <c r="C40" s="614">
        <v>53.063</v>
      </c>
      <c r="D40" s="614">
        <v>275.856</v>
      </c>
      <c r="E40" s="614">
        <v>123.695</v>
      </c>
      <c r="F40" s="614">
        <v>11.754</v>
      </c>
      <c r="G40" s="614">
        <v>17.787</v>
      </c>
      <c r="H40" s="614">
        <v>31.947</v>
      </c>
      <c r="I40" s="663">
        <v>27.495</v>
      </c>
      <c r="J40" s="663">
        <v>244.717</v>
      </c>
      <c r="K40" s="634">
        <f t="shared" si="5"/>
        <v>786.314</v>
      </c>
    </row>
    <row r="41" spans="1:11" s="652" customFormat="1" ht="12.75">
      <c r="A41" s="662">
        <v>10</v>
      </c>
      <c r="B41" s="613" t="s">
        <v>514</v>
      </c>
      <c r="C41" s="614">
        <v>367.91</v>
      </c>
      <c r="D41" s="614">
        <v>599.325</v>
      </c>
      <c r="E41" s="614">
        <v>4.756</v>
      </c>
      <c r="F41" s="614">
        <v>1084.079</v>
      </c>
      <c r="G41" s="614">
        <v>918.998</v>
      </c>
      <c r="H41" s="614">
        <v>806.649</v>
      </c>
      <c r="I41" s="663">
        <v>709.818</v>
      </c>
      <c r="J41" s="663">
        <v>1039.979</v>
      </c>
      <c r="K41" s="634">
        <f t="shared" si="5"/>
        <v>5531.514</v>
      </c>
    </row>
    <row r="42" spans="1:11" s="652" customFormat="1" ht="12.75">
      <c r="A42" s="662">
        <v>11</v>
      </c>
      <c r="B42" s="613" t="s">
        <v>371</v>
      </c>
      <c r="C42" s="614">
        <v>200.423</v>
      </c>
      <c r="D42" s="614">
        <v>138.25</v>
      </c>
      <c r="E42" s="614">
        <v>163.668</v>
      </c>
      <c r="F42" s="614">
        <v>106.369</v>
      </c>
      <c r="G42" s="614">
        <v>136.082</v>
      </c>
      <c r="H42" s="614">
        <v>116.663</v>
      </c>
      <c r="I42" s="663">
        <v>138.046</v>
      </c>
      <c r="J42" s="663">
        <v>117.802</v>
      </c>
      <c r="K42" s="634">
        <f t="shared" si="5"/>
        <v>1117.3029999999999</v>
      </c>
    </row>
    <row r="43" spans="1:11" s="652" customFormat="1" ht="12.75">
      <c r="A43" s="665">
        <v>12</v>
      </c>
      <c r="B43" s="618" t="s">
        <v>514</v>
      </c>
      <c r="C43" s="619">
        <v>1.935</v>
      </c>
      <c r="D43" s="619">
        <v>2.51</v>
      </c>
      <c r="E43" s="619">
        <v>0</v>
      </c>
      <c r="F43" s="619">
        <v>0</v>
      </c>
      <c r="G43" s="619">
        <v>0.872</v>
      </c>
      <c r="H43" s="619">
        <v>11.741</v>
      </c>
      <c r="I43" s="666">
        <v>10.563</v>
      </c>
      <c r="J43" s="666">
        <v>48.369</v>
      </c>
      <c r="K43" s="667">
        <f t="shared" si="5"/>
        <v>75.99000000000001</v>
      </c>
    </row>
    <row r="44" spans="1:12" s="652" customFormat="1" ht="12.75">
      <c r="A44" s="1147" t="s">
        <v>510</v>
      </c>
      <c r="B44" s="1148"/>
      <c r="C44" s="668">
        <f aca="true" t="shared" si="7" ref="C44:J44">SUM(C45:C47)</f>
        <v>4450</v>
      </c>
      <c r="D44" s="668">
        <f t="shared" si="7"/>
        <v>6041</v>
      </c>
      <c r="E44" s="668">
        <f t="shared" si="7"/>
        <v>8000</v>
      </c>
      <c r="F44" s="668">
        <f t="shared" si="7"/>
        <v>6443</v>
      </c>
      <c r="G44" s="668">
        <f t="shared" si="7"/>
        <v>6883</v>
      </c>
      <c r="H44" s="668">
        <f t="shared" si="7"/>
        <v>6922</v>
      </c>
      <c r="I44" s="668">
        <f t="shared" si="7"/>
        <v>6658</v>
      </c>
      <c r="J44" s="668">
        <f t="shared" si="7"/>
        <v>6733</v>
      </c>
      <c r="K44" s="669">
        <f t="shared" si="5"/>
        <v>52130</v>
      </c>
      <c r="L44" s="661"/>
    </row>
    <row r="45" spans="1:12" s="652" customFormat="1" ht="12.75">
      <c r="A45" s="670">
        <v>1</v>
      </c>
      <c r="B45" s="671" t="s">
        <v>373</v>
      </c>
      <c r="C45" s="672">
        <v>0</v>
      </c>
      <c r="D45" s="672">
        <v>0</v>
      </c>
      <c r="E45" s="672">
        <v>0</v>
      </c>
      <c r="F45" s="672">
        <v>0</v>
      </c>
      <c r="G45" s="672">
        <v>0</v>
      </c>
      <c r="H45" s="672">
        <v>0</v>
      </c>
      <c r="I45" s="629">
        <v>0</v>
      </c>
      <c r="J45" s="629">
        <v>0</v>
      </c>
      <c r="K45" s="630">
        <f t="shared" si="5"/>
        <v>0</v>
      </c>
      <c r="L45" s="661"/>
    </row>
    <row r="46" spans="1:12" s="652" customFormat="1" ht="12.75">
      <c r="A46" s="673">
        <v>2</v>
      </c>
      <c r="B46" s="674" t="s">
        <v>178</v>
      </c>
      <c r="C46" s="675">
        <v>4450</v>
      </c>
      <c r="D46" s="675">
        <v>6041</v>
      </c>
      <c r="E46" s="675">
        <v>8000</v>
      </c>
      <c r="F46" s="675">
        <v>6443</v>
      </c>
      <c r="G46" s="675">
        <v>6883</v>
      </c>
      <c r="H46" s="675">
        <v>6922</v>
      </c>
      <c r="I46" s="633">
        <v>6658</v>
      </c>
      <c r="J46" s="633">
        <v>6733</v>
      </c>
      <c r="K46" s="634">
        <f t="shared" si="5"/>
        <v>52130</v>
      </c>
      <c r="L46" s="661"/>
    </row>
    <row r="47" spans="1:11" s="652" customFormat="1" ht="13.5" thickBot="1">
      <c r="A47" s="676">
        <v>3</v>
      </c>
      <c r="B47" s="677" t="s">
        <v>181</v>
      </c>
      <c r="C47" s="678">
        <v>0</v>
      </c>
      <c r="D47" s="678">
        <v>0</v>
      </c>
      <c r="E47" s="678">
        <v>0</v>
      </c>
      <c r="F47" s="678">
        <v>0</v>
      </c>
      <c r="G47" s="678">
        <v>0</v>
      </c>
      <c r="H47" s="678">
        <v>0</v>
      </c>
      <c r="I47" s="638">
        <v>0</v>
      </c>
      <c r="J47" s="638">
        <v>0</v>
      </c>
      <c r="K47" s="639">
        <f t="shared" si="5"/>
        <v>0</v>
      </c>
    </row>
    <row r="48" spans="1:12" ht="14.25" thickBot="1" thickTop="1">
      <c r="A48" s="1149" t="s">
        <v>515</v>
      </c>
      <c r="B48" s="1150"/>
      <c r="C48" s="679">
        <f>C44+C31+C30+C29+C26</f>
        <v>484004.71499999997</v>
      </c>
      <c r="D48" s="679">
        <f aca="true" t="shared" si="8" ref="D48:J48">D44+D31+D30+D29+D26</f>
        <v>332184.2173</v>
      </c>
      <c r="E48" s="679">
        <f t="shared" si="8"/>
        <v>353344.244</v>
      </c>
      <c r="F48" s="679">
        <f t="shared" si="8"/>
        <v>388270.711</v>
      </c>
      <c r="G48" s="679">
        <f t="shared" si="8"/>
        <v>203102.196</v>
      </c>
      <c r="H48" s="679">
        <f t="shared" si="8"/>
        <v>419712.155</v>
      </c>
      <c r="I48" s="679">
        <f t="shared" si="8"/>
        <v>162436.668</v>
      </c>
      <c r="J48" s="679">
        <f t="shared" si="8"/>
        <v>104502.56599999999</v>
      </c>
      <c r="K48" s="680">
        <f t="shared" si="5"/>
        <v>2447557.4723000005</v>
      </c>
      <c r="L48" s="681"/>
    </row>
    <row r="49" spans="1:11" ht="21" customHeight="1" thickBot="1" thickTop="1">
      <c r="A49" s="1151" t="s">
        <v>516</v>
      </c>
      <c r="B49" s="1152"/>
      <c r="C49" s="683">
        <f aca="true" t="shared" si="9" ref="C49:J49">C48-C24</f>
        <v>-20744.09400000004</v>
      </c>
      <c r="D49" s="683">
        <f t="shared" si="9"/>
        <v>-7483.165699999954</v>
      </c>
      <c r="E49" s="683">
        <f>E48-E24</f>
        <v>-7859.389000000025</v>
      </c>
      <c r="F49" s="683">
        <f t="shared" si="9"/>
        <v>-15600.46815000003</v>
      </c>
      <c r="G49" s="683">
        <f t="shared" si="9"/>
        <v>-20532.549000000028</v>
      </c>
      <c r="H49" s="683">
        <f t="shared" si="9"/>
        <v>-16975.426999999967</v>
      </c>
      <c r="I49" s="683">
        <f t="shared" si="9"/>
        <v>-18464.65074999997</v>
      </c>
      <c r="J49" s="683">
        <f t="shared" si="9"/>
        <v>-22533.12800000001</v>
      </c>
      <c r="K49" s="684">
        <f t="shared" si="5"/>
        <v>-130192.87160000003</v>
      </c>
    </row>
    <row r="50" spans="1:10" ht="13.5" thickTop="1">
      <c r="A50" s="685"/>
      <c r="I50" s="686"/>
      <c r="J50" s="686"/>
    </row>
    <row r="51" spans="10:12" ht="12.75">
      <c r="J51" s="1102" t="s">
        <v>442</v>
      </c>
      <c r="K51" s="1102"/>
      <c r="L51" s="1102"/>
    </row>
    <row r="52" spans="3:11" ht="12.75">
      <c r="C52" s="681"/>
      <c r="D52" s="681"/>
      <c r="E52" s="681"/>
      <c r="F52" s="681"/>
      <c r="G52" s="681"/>
      <c r="H52" s="681"/>
      <c r="K52" s="75"/>
    </row>
    <row r="53" spans="3:11" ht="12.75">
      <c r="C53" s="687"/>
      <c r="D53" s="687"/>
      <c r="E53" s="687"/>
      <c r="F53" s="75"/>
      <c r="G53" s="688"/>
      <c r="H53" s="687"/>
      <c r="K53" s="75"/>
    </row>
    <row r="54" spans="6:11" ht="12.75">
      <c r="F54" s="75"/>
      <c r="G54" s="689"/>
      <c r="K54" s="75"/>
    </row>
    <row r="55" spans="3:11" ht="12.75">
      <c r="C55" s="681"/>
      <c r="F55" s="75"/>
      <c r="G55" s="689"/>
      <c r="K55" s="75"/>
    </row>
    <row r="56" spans="3:11" ht="12.75">
      <c r="C56" s="681"/>
      <c r="D56" s="681"/>
      <c r="E56" s="681"/>
      <c r="F56" s="75"/>
      <c r="G56" s="690"/>
      <c r="H56" s="681"/>
      <c r="K56" s="75"/>
    </row>
    <row r="57" spans="7:11" s="691" customFormat="1" ht="12.75">
      <c r="G57" s="692"/>
      <c r="K57" s="76"/>
    </row>
    <row r="58" spans="6:11" s="691" customFormat="1" ht="12.75">
      <c r="F58" s="693"/>
      <c r="G58" s="692"/>
      <c r="K58" s="76"/>
    </row>
    <row r="59" spans="7:12" s="691" customFormat="1" ht="12.75">
      <c r="G59" s="692"/>
      <c r="K59" s="694"/>
      <c r="L59" s="695"/>
    </row>
    <row r="60" spans="7:11" ht="12.75">
      <c r="G60" s="689"/>
      <c r="K60" s="75"/>
    </row>
    <row r="61" spans="6:11" ht="12.75">
      <c r="F61" s="696"/>
      <c r="G61" s="689"/>
      <c r="K61" s="75"/>
    </row>
    <row r="62" spans="6:11" ht="12.75">
      <c r="F62" s="696"/>
      <c r="G62" s="697"/>
      <c r="K62" s="75"/>
    </row>
    <row r="63" spans="7:11" ht="12.75">
      <c r="G63" s="689"/>
      <c r="K63" s="75"/>
    </row>
    <row r="64" spans="6:11" ht="12.75">
      <c r="F64" s="75"/>
      <c r="G64" s="696"/>
      <c r="K64" s="75"/>
    </row>
    <row r="66" ht="12.75">
      <c r="F66" s="696"/>
    </row>
  </sheetData>
  <sheetProtection/>
  <mergeCells count="18">
    <mergeCell ref="A28:B28"/>
    <mergeCell ref="A29:B29"/>
    <mergeCell ref="A4:B4"/>
    <mergeCell ref="A5:B5"/>
    <mergeCell ref="A6:B6"/>
    <mergeCell ref="A19:B19"/>
    <mergeCell ref="A20:B20"/>
    <mergeCell ref="B2:K2"/>
    <mergeCell ref="A24:B24"/>
    <mergeCell ref="A25:K25"/>
    <mergeCell ref="A26:B26"/>
    <mergeCell ref="A27:B27"/>
    <mergeCell ref="J51:L51"/>
    <mergeCell ref="A30:B30"/>
    <mergeCell ref="A31:B31"/>
    <mergeCell ref="A44:B44"/>
    <mergeCell ref="A48:B48"/>
    <mergeCell ref="A49:B49"/>
  </mergeCells>
  <printOptions/>
  <pageMargins left="0.25" right="0.25" top="0.75" bottom="0.75" header="0.3" footer="0.3"/>
  <pageSetup orientation="landscape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selection activeCell="B28" sqref="B28:C28"/>
    </sheetView>
  </sheetViews>
  <sheetFormatPr defaultColWidth="9.140625" defaultRowHeight="15"/>
  <cols>
    <col min="1" max="1" width="5.00390625" style="588" bestFit="1" customWidth="1"/>
    <col min="2" max="2" width="5.7109375" style="30" customWidth="1"/>
    <col min="3" max="3" width="55.00390625" style="30" bestFit="1" customWidth="1"/>
    <col min="4" max="4" width="18.8515625" style="535" bestFit="1" customWidth="1"/>
    <col min="5" max="5" width="10.00390625" style="535" bestFit="1" customWidth="1"/>
    <col min="6" max="12" width="10.00390625" style="585" bestFit="1" customWidth="1"/>
    <col min="13" max="13" width="11.00390625" style="585" bestFit="1" customWidth="1"/>
    <col min="14" max="15" width="13.8515625" style="30" customWidth="1"/>
    <col min="16" max="16384" width="9.140625" style="30" customWidth="1"/>
  </cols>
  <sheetData>
    <row r="1" spans="1:16" ht="30" customHeight="1" thickBot="1">
      <c r="A1" s="1172" t="s">
        <v>566</v>
      </c>
      <c r="B1" s="1173"/>
      <c r="C1" s="1173"/>
      <c r="D1" s="1174"/>
      <c r="E1" s="1041" t="s">
        <v>496</v>
      </c>
      <c r="F1" s="1041" t="s">
        <v>497</v>
      </c>
      <c r="G1" s="1041" t="s">
        <v>498</v>
      </c>
      <c r="H1" s="1042" t="s">
        <v>499</v>
      </c>
      <c r="I1" s="1042" t="s">
        <v>93</v>
      </c>
      <c r="J1" s="1042" t="s">
        <v>500</v>
      </c>
      <c r="K1" s="1042" t="s">
        <v>501</v>
      </c>
      <c r="L1" s="1042" t="s">
        <v>502</v>
      </c>
      <c r="M1" s="860" t="s">
        <v>568</v>
      </c>
      <c r="N1" s="861"/>
      <c r="O1" s="861"/>
      <c r="P1" s="861"/>
    </row>
    <row r="2" spans="1:15" s="535" customFormat="1" ht="18" customHeight="1">
      <c r="A2" s="533" t="s">
        <v>19</v>
      </c>
      <c r="B2" s="1187" t="s">
        <v>517</v>
      </c>
      <c r="C2" s="1188"/>
      <c r="D2" s="866" t="s">
        <v>20</v>
      </c>
      <c r="E2" s="867">
        <f aca="true" t="shared" si="0" ref="E2:M2">E3+E9</f>
        <v>715886.3866904</v>
      </c>
      <c r="F2" s="867">
        <f t="shared" si="0"/>
        <v>562269.9703652961</v>
      </c>
      <c r="G2" s="867">
        <f t="shared" si="0"/>
        <v>545213.6902500001</v>
      </c>
      <c r="H2" s="867">
        <f t="shared" si="0"/>
        <v>493731.192738187</v>
      </c>
      <c r="I2" s="867">
        <f t="shared" si="0"/>
        <v>475055.24588289997</v>
      </c>
      <c r="J2" s="867">
        <f t="shared" si="0"/>
        <v>485386.0228383368</v>
      </c>
      <c r="K2" s="867">
        <f t="shared" si="0"/>
        <v>529805.327626669</v>
      </c>
      <c r="L2" s="867">
        <f t="shared" si="0"/>
        <v>541989.3500991348</v>
      </c>
      <c r="M2" s="872">
        <f t="shared" si="0"/>
        <v>4349337.186490924</v>
      </c>
      <c r="N2" s="852"/>
      <c r="O2" s="74"/>
    </row>
    <row r="3" spans="1:13" ht="18" customHeight="1">
      <c r="A3" s="73" t="s">
        <v>21</v>
      </c>
      <c r="B3" s="1189" t="s">
        <v>518</v>
      </c>
      <c r="C3" s="1190"/>
      <c r="D3" s="536" t="s">
        <v>22</v>
      </c>
      <c r="E3" s="537">
        <f aca="true" t="shared" si="1" ref="E3:L3">SUM(E4:E8)</f>
        <v>690769.3420354</v>
      </c>
      <c r="F3" s="537">
        <f t="shared" si="1"/>
        <v>510323.4104082961</v>
      </c>
      <c r="G3" s="537">
        <f t="shared" si="1"/>
        <v>468608.7084560001</v>
      </c>
      <c r="H3" s="537">
        <f t="shared" si="1"/>
        <v>430684.386708187</v>
      </c>
      <c r="I3" s="537">
        <f t="shared" si="1"/>
        <v>420537.9710429</v>
      </c>
      <c r="J3" s="537">
        <f t="shared" si="1"/>
        <v>456467.75435533683</v>
      </c>
      <c r="K3" s="537">
        <f t="shared" si="1"/>
        <v>518345.82641766896</v>
      </c>
      <c r="L3" s="537">
        <f t="shared" si="1"/>
        <v>534756.5208361349</v>
      </c>
      <c r="M3" s="538">
        <f>SUM(E3:L3)</f>
        <v>4030493.920259924</v>
      </c>
    </row>
    <row r="4" spans="1:14" ht="18" customHeight="1">
      <c r="A4" s="73" t="s">
        <v>23</v>
      </c>
      <c r="B4" s="1033"/>
      <c r="C4" s="1034" t="s">
        <v>519</v>
      </c>
      <c r="D4" s="539"/>
      <c r="E4" s="537">
        <f>'[1]Shperndarja'!D10</f>
        <v>460676.2537467</v>
      </c>
      <c r="F4" s="537">
        <f>'[1]Shperndarja'!E10</f>
        <v>274882.8381689961</v>
      </c>
      <c r="G4" s="537">
        <f>'[1]Shperndarja'!F10</f>
        <v>286273.42131520004</v>
      </c>
      <c r="H4" s="537">
        <f>'[1]Shperndarja'!G10</f>
        <v>351169.879018087</v>
      </c>
      <c r="I4" s="537">
        <f>'[1]Shperndarja'!H10</f>
        <v>183735.3681322</v>
      </c>
      <c r="J4" s="537">
        <f>'[1]Shperndarja'!I10</f>
        <v>386042.4284762368</v>
      </c>
      <c r="K4" s="537">
        <f>'[1]Shperndarja'!J10</f>
        <v>137912.584889969</v>
      </c>
      <c r="L4" s="537">
        <f>'[1]Shperndarja'!K10</f>
        <v>74041.138147075</v>
      </c>
      <c r="M4" s="540">
        <f>SUM(E4:L4)</f>
        <v>2154733.9118944644</v>
      </c>
      <c r="N4" s="541"/>
    </row>
    <row r="5" spans="1:14" ht="18" customHeight="1">
      <c r="A5" s="73" t="s">
        <v>24</v>
      </c>
      <c r="B5" s="1033"/>
      <c r="C5" s="1034" t="s">
        <v>520</v>
      </c>
      <c r="D5" s="542"/>
      <c r="E5" s="537">
        <f>'[1]Shperndarja'!D9</f>
        <v>186000</v>
      </c>
      <c r="F5" s="537">
        <f>'[1]Shperndarja'!E9</f>
        <v>168000</v>
      </c>
      <c r="G5" s="537">
        <f>'[1]Shperndarja'!F9</f>
        <v>96590</v>
      </c>
      <c r="H5" s="537">
        <f>'[1]Shperndarja'!G9</f>
        <v>0</v>
      </c>
      <c r="I5" s="537">
        <f>'[1]Shperndarja'!H9</f>
        <v>173269</v>
      </c>
      <c r="J5" s="537">
        <f>'[1]Shperndarja'!I9</f>
        <v>25200</v>
      </c>
      <c r="K5" s="537">
        <f>'[1]Shperndarja'!J9</f>
        <v>365400</v>
      </c>
      <c r="L5" s="537">
        <f>'[1]Shperndarja'!K9</f>
        <v>454087</v>
      </c>
      <c r="M5" s="540">
        <f>SUM(E5:L5)</f>
        <v>1468546</v>
      </c>
      <c r="N5" s="541"/>
    </row>
    <row r="6" spans="1:14" ht="24" customHeight="1">
      <c r="A6" s="73" t="s">
        <v>25</v>
      </c>
      <c r="B6" s="1193" t="s">
        <v>521</v>
      </c>
      <c r="C6" s="1194"/>
      <c r="D6" s="539"/>
      <c r="E6" s="537">
        <v>44093.08828869999</v>
      </c>
      <c r="F6" s="537">
        <v>67440.57223930002</v>
      </c>
      <c r="G6" s="543">
        <v>85745.2871408</v>
      </c>
      <c r="H6" s="543">
        <v>79514.50769009998</v>
      </c>
      <c r="I6" s="543">
        <v>63533.6029107</v>
      </c>
      <c r="J6" s="543">
        <v>45225.3258791</v>
      </c>
      <c r="K6" s="543">
        <v>15033.2415277</v>
      </c>
      <c r="L6" s="543">
        <v>6628.38268906</v>
      </c>
      <c r="M6" s="540">
        <f>SUM(E6:L6)</f>
        <v>407214.00836546003</v>
      </c>
      <c r="N6" s="541"/>
    </row>
    <row r="7" spans="1:13" ht="18" customHeight="1">
      <c r="A7" s="73" t="s">
        <v>26</v>
      </c>
      <c r="B7" s="1033"/>
      <c r="C7" s="1034" t="s">
        <v>522</v>
      </c>
      <c r="D7" s="539"/>
      <c r="E7" s="544" t="s">
        <v>27</v>
      </c>
      <c r="F7" s="544" t="s">
        <v>27</v>
      </c>
      <c r="G7" s="544" t="s">
        <v>27</v>
      </c>
      <c r="H7" s="544" t="s">
        <v>27</v>
      </c>
      <c r="I7" s="544" t="s">
        <v>27</v>
      </c>
      <c r="J7" s="544" t="s">
        <v>27</v>
      </c>
      <c r="K7" s="544" t="s">
        <v>27</v>
      </c>
      <c r="L7" s="544" t="s">
        <v>27</v>
      </c>
      <c r="M7" s="545" t="s">
        <v>27</v>
      </c>
    </row>
    <row r="8" spans="1:13" ht="18" customHeight="1">
      <c r="A8" s="73" t="s">
        <v>28</v>
      </c>
      <c r="B8" s="1033"/>
      <c r="C8" s="1034" t="s">
        <v>523</v>
      </c>
      <c r="D8" s="539"/>
      <c r="E8" s="544" t="s">
        <v>27</v>
      </c>
      <c r="F8" s="544" t="s">
        <v>27</v>
      </c>
      <c r="G8" s="544" t="s">
        <v>27</v>
      </c>
      <c r="H8" s="544" t="s">
        <v>27</v>
      </c>
      <c r="I8" s="544" t="s">
        <v>27</v>
      </c>
      <c r="J8" s="544" t="s">
        <v>27</v>
      </c>
      <c r="K8" s="544" t="s">
        <v>27</v>
      </c>
      <c r="L8" s="544" t="s">
        <v>27</v>
      </c>
      <c r="M8" s="545" t="s">
        <v>27</v>
      </c>
    </row>
    <row r="9" spans="1:13" ht="18" customHeight="1">
      <c r="A9" s="73" t="s">
        <v>29</v>
      </c>
      <c r="B9" s="1189" t="s">
        <v>524</v>
      </c>
      <c r="C9" s="1190"/>
      <c r="D9" s="536" t="s">
        <v>30</v>
      </c>
      <c r="E9" s="537">
        <f aca="true" t="shared" si="2" ref="E9:M9">SUM(E10:E11)</f>
        <v>25117.044654999998</v>
      </c>
      <c r="F9" s="537">
        <f t="shared" si="2"/>
        <v>51946.559957000005</v>
      </c>
      <c r="G9" s="537">
        <f t="shared" si="2"/>
        <v>76604.981794</v>
      </c>
      <c r="H9" s="537">
        <f t="shared" si="2"/>
        <v>63046.80603</v>
      </c>
      <c r="I9" s="537">
        <f t="shared" si="2"/>
        <v>54517.27484</v>
      </c>
      <c r="J9" s="537">
        <f t="shared" si="2"/>
        <v>28918.268483</v>
      </c>
      <c r="K9" s="537">
        <f t="shared" si="2"/>
        <v>11459.50120899998</v>
      </c>
      <c r="L9" s="537">
        <f t="shared" si="2"/>
        <v>7232.8292629999905</v>
      </c>
      <c r="M9" s="540">
        <f t="shared" si="2"/>
        <v>318843.26623099996</v>
      </c>
    </row>
    <row r="10" spans="1:13" ht="18" customHeight="1">
      <c r="A10" s="73" t="s">
        <v>31</v>
      </c>
      <c r="B10" s="1033"/>
      <c r="C10" s="1034" t="s">
        <v>525</v>
      </c>
      <c r="D10" s="542"/>
      <c r="E10" s="537">
        <f>'[1]Bilanci i Energjise'!D11</f>
        <v>2621.89102</v>
      </c>
      <c r="F10" s="537">
        <f>'[1]Bilanci i Energjise'!E11</f>
        <v>2896.89192</v>
      </c>
      <c r="G10" s="537">
        <f>'[1]Bilanci i Energjise'!F11</f>
        <v>3302.61</v>
      </c>
      <c r="H10" s="537">
        <f>'[1]Bilanci i Energjise'!G11</f>
        <v>3120.17</v>
      </c>
      <c r="I10" s="537">
        <f>'[1]Bilanci i Energjise'!H11</f>
        <v>3036.6</v>
      </c>
      <c r="J10" s="537">
        <f>'[1]Bilanci i Energjise'!I11</f>
        <v>2829.84</v>
      </c>
      <c r="K10" s="537">
        <f>'[1]Bilanci i Energjise'!J11</f>
        <v>2397.11</v>
      </c>
      <c r="L10" s="537">
        <f>'[1]Bilanci i Energjise'!K11</f>
        <v>1936.76</v>
      </c>
      <c r="M10" s="540">
        <f>SUM(E10:L10)</f>
        <v>22141.872939999997</v>
      </c>
    </row>
    <row r="11" spans="1:13" ht="18" customHeight="1">
      <c r="A11" s="73" t="s">
        <v>32</v>
      </c>
      <c r="B11" s="1033"/>
      <c r="C11" s="1034" t="s">
        <v>526</v>
      </c>
      <c r="D11" s="542"/>
      <c r="E11" s="537">
        <f>'[1]Bilanci i Energjise'!D12</f>
        <v>22495.153635</v>
      </c>
      <c r="F11" s="537">
        <f>'[1]Bilanci i Energjise'!E12</f>
        <v>49049.668037</v>
      </c>
      <c r="G11" s="537">
        <f>'[1]Bilanci i Energjise'!F12</f>
        <v>73302.371794</v>
      </c>
      <c r="H11" s="537">
        <f>'[1]Bilanci i Energjise'!G12</f>
        <v>59926.63603</v>
      </c>
      <c r="I11" s="537">
        <f>'[1]Bilanci i Energjise'!H12</f>
        <v>51480.67484</v>
      </c>
      <c r="J11" s="537">
        <f>'[1]Bilanci i Energjise'!I12</f>
        <v>26088.428483</v>
      </c>
      <c r="K11" s="537">
        <f>'[1]Bilanci i Energjise'!J12</f>
        <v>9062.39120899998</v>
      </c>
      <c r="L11" s="537">
        <f>'[1]Bilanci i Energjise'!K12</f>
        <v>5296.06926299999</v>
      </c>
      <c r="M11" s="540">
        <f>SUM(E11:L11)</f>
        <v>296701.393291</v>
      </c>
    </row>
    <row r="12" spans="1:13" s="535" customFormat="1" ht="18" customHeight="1">
      <c r="A12" s="546" t="s">
        <v>33</v>
      </c>
      <c r="B12" s="1185" t="s">
        <v>527</v>
      </c>
      <c r="C12" s="1186"/>
      <c r="D12" s="547" t="s">
        <v>34</v>
      </c>
      <c r="E12" s="548">
        <f>E2</f>
        <v>715886.3866904</v>
      </c>
      <c r="F12" s="548">
        <f aca="true" t="shared" si="3" ref="F12:L12">F2</f>
        <v>562269.9703652961</v>
      </c>
      <c r="G12" s="548">
        <f t="shared" si="3"/>
        <v>545213.6902500001</v>
      </c>
      <c r="H12" s="548">
        <f t="shared" si="3"/>
        <v>493731.192738187</v>
      </c>
      <c r="I12" s="548">
        <f>I2</f>
        <v>475055.24588289997</v>
      </c>
      <c r="J12" s="548">
        <f t="shared" si="3"/>
        <v>485386.0228383368</v>
      </c>
      <c r="K12" s="548">
        <f t="shared" si="3"/>
        <v>529805.327626669</v>
      </c>
      <c r="L12" s="548">
        <f t="shared" si="3"/>
        <v>541989.3500991348</v>
      </c>
      <c r="M12" s="548">
        <f>M2</f>
        <v>4349337.186490924</v>
      </c>
    </row>
    <row r="13" spans="1:13" s="535" customFormat="1" ht="18" customHeight="1">
      <c r="A13" s="546" t="s">
        <v>35</v>
      </c>
      <c r="B13" s="1185" t="s">
        <v>528</v>
      </c>
      <c r="C13" s="1186"/>
      <c r="D13" s="547" t="s">
        <v>36</v>
      </c>
      <c r="E13" s="548">
        <f aca="true" t="shared" si="4" ref="E13:M13">SUM(E14:E16)</f>
        <v>239792.83870742068</v>
      </c>
      <c r="F13" s="548">
        <f t="shared" si="4"/>
        <v>155348.06573001004</v>
      </c>
      <c r="G13" s="548">
        <f t="shared" si="4"/>
        <v>156234.26065802574</v>
      </c>
      <c r="H13" s="548">
        <f t="shared" si="4"/>
        <v>127408.66525022795</v>
      </c>
      <c r="I13" s="548">
        <f t="shared" si="4"/>
        <v>122948.23685694298</v>
      </c>
      <c r="J13" s="548">
        <f t="shared" si="4"/>
        <v>136560.07731040404</v>
      </c>
      <c r="K13" s="548">
        <f t="shared" si="4"/>
        <v>130797.72444974052</v>
      </c>
      <c r="L13" s="548">
        <f t="shared" si="4"/>
        <v>126226.06996020496</v>
      </c>
      <c r="M13" s="549">
        <f t="shared" si="4"/>
        <v>1195315.938922977</v>
      </c>
    </row>
    <row r="14" spans="1:13" ht="18" customHeight="1">
      <c r="A14" s="73" t="s">
        <v>37</v>
      </c>
      <c r="B14" s="1035"/>
      <c r="C14" s="1034" t="s">
        <v>529</v>
      </c>
      <c r="D14" s="547"/>
      <c r="E14" s="537">
        <f>'[1]Bilanci i Energjise'!D20</f>
        <v>15076.895178032995</v>
      </c>
      <c r="F14" s="537">
        <f>'[1]Bilanci i Energjise'!E20</f>
        <v>12860.807681416052</v>
      </c>
      <c r="G14" s="537">
        <f>'[1]Bilanci i Energjise'!F20</f>
        <v>12525.22055643321</v>
      </c>
      <c r="H14" s="537">
        <f>'[1]Bilanci i Energjise'!G20</f>
        <v>11289.064370786993</v>
      </c>
      <c r="I14" s="537">
        <f>'[1]Bilanci i Energjise'!H20</f>
        <v>10268.081846699924</v>
      </c>
      <c r="J14" s="537">
        <f>'[1]Bilanci i Energjise'!I20</f>
        <v>10676.146595536846</v>
      </c>
      <c r="K14" s="537">
        <f>'[1]Bilanci i Energjise'!J20</f>
        <v>11793.85744866894</v>
      </c>
      <c r="L14" s="537">
        <f>'[1]Bilanci i Energjise'!K20</f>
        <v>10326.486521134919</v>
      </c>
      <c r="M14" s="540">
        <f>SUM(E14:L14)</f>
        <v>94816.56019870988</v>
      </c>
    </row>
    <row r="15" spans="1:13" ht="18" customHeight="1">
      <c r="A15" s="73" t="s">
        <v>38</v>
      </c>
      <c r="B15" s="1033"/>
      <c r="C15" s="1034" t="s">
        <v>530</v>
      </c>
      <c r="D15" s="539"/>
      <c r="E15" s="537">
        <f>'[1]Bilanci i Energjise'!D25</f>
        <v>122373.2910665238</v>
      </c>
      <c r="F15" s="537">
        <f>'[1]Bilanci i Energjise'!E25</f>
        <v>95095.02662943117</v>
      </c>
      <c r="G15" s="537">
        <f>'[1]Bilanci i Energjise'!F25</f>
        <v>92155.80797156678</v>
      </c>
      <c r="H15" s="537">
        <f>'[1]Bilanci i Energjise'!G25</f>
        <v>83507.32463494492</v>
      </c>
      <c r="I15" s="537">
        <f>'[1]Bilanci i Energjise'!H25</f>
        <v>80942.52536281687</v>
      </c>
      <c r="J15" s="537">
        <f>'[1]Bilanci i Energjise'!I25</f>
        <v>82517.96978942386</v>
      </c>
      <c r="K15" s="537">
        <f>'[1]Bilanci i Energjise'!J25</f>
        <v>89928.7654556515</v>
      </c>
      <c r="L15" s="537">
        <f>'[1]Bilanci i Energjise'!K25</f>
        <v>93735.46869789899</v>
      </c>
      <c r="M15" s="540">
        <f>SUM(E15:L15)</f>
        <v>740256.179608258</v>
      </c>
    </row>
    <row r="16" spans="1:13" ht="18" customHeight="1">
      <c r="A16" s="73" t="s">
        <v>39</v>
      </c>
      <c r="B16" s="1033"/>
      <c r="C16" s="1034" t="s">
        <v>531</v>
      </c>
      <c r="D16" s="539"/>
      <c r="E16" s="537">
        <f>'[1]Bilanci i Energjise'!D27</f>
        <v>102342.6524628639</v>
      </c>
      <c r="F16" s="537">
        <f>'[1]Bilanci i Energjise'!E27</f>
        <v>47392.231419162825</v>
      </c>
      <c r="G16" s="537">
        <f>'[1]Bilanci i Energjise'!F27</f>
        <v>51553.23213002576</v>
      </c>
      <c r="H16" s="537">
        <f>'[1]Bilanci i Energjise'!G27</f>
        <v>32612.27624449604</v>
      </c>
      <c r="I16" s="537">
        <f>'[1]Bilanci i Energjise'!H27</f>
        <v>31737.62964742619</v>
      </c>
      <c r="J16" s="537">
        <f>'[1]Bilanci i Energjise'!I27</f>
        <v>43365.96092544333</v>
      </c>
      <c r="K16" s="537">
        <f>'[1]Bilanci i Energjise'!J27</f>
        <v>29075.101545420068</v>
      </c>
      <c r="L16" s="537">
        <f>'[1]Bilanci i Energjise'!K27</f>
        <v>22164.11474117104</v>
      </c>
      <c r="M16" s="540">
        <f>SUM(E16:L16)</f>
        <v>360243.1991160092</v>
      </c>
    </row>
    <row r="17" spans="1:15" s="535" customFormat="1" ht="18" customHeight="1">
      <c r="A17" s="546" t="s">
        <v>37</v>
      </c>
      <c r="B17" s="1185" t="s">
        <v>532</v>
      </c>
      <c r="C17" s="1186"/>
      <c r="D17" s="547" t="s">
        <v>40</v>
      </c>
      <c r="E17" s="550">
        <f aca="true" t="shared" si="5" ref="E17:M17">E13/E12</f>
        <v>0.3349593499270215</v>
      </c>
      <c r="F17" s="550">
        <f t="shared" si="5"/>
        <v>0.27628732444858</v>
      </c>
      <c r="G17" s="550">
        <f t="shared" si="5"/>
        <v>0.28655601180224716</v>
      </c>
      <c r="H17" s="550">
        <f t="shared" si="5"/>
        <v>0.2580526957262542</v>
      </c>
      <c r="I17" s="550">
        <f t="shared" si="5"/>
        <v>0.2588082921354571</v>
      </c>
      <c r="J17" s="550">
        <f t="shared" si="5"/>
        <v>0.2813432420485805</v>
      </c>
      <c r="K17" s="550">
        <f t="shared" si="5"/>
        <v>0.24687883950821282</v>
      </c>
      <c r="L17" s="550">
        <f t="shared" si="5"/>
        <v>0.232894004166534</v>
      </c>
      <c r="M17" s="551">
        <f t="shared" si="5"/>
        <v>0.27482714898160526</v>
      </c>
      <c r="N17" s="552"/>
      <c r="O17" s="553"/>
    </row>
    <row r="18" spans="1:15" ht="18" customHeight="1">
      <c r="A18" s="73" t="s">
        <v>41</v>
      </c>
      <c r="B18" s="1035"/>
      <c r="C18" s="1034" t="s">
        <v>533</v>
      </c>
      <c r="D18" s="547"/>
      <c r="E18" s="554">
        <f>'[1]Bilanci i Energjise'!D21</f>
        <v>0.021060457997720404</v>
      </c>
      <c r="F18" s="554">
        <f>'[1]Bilanci i Energjise'!E21</f>
        <v>0.022873011825575537</v>
      </c>
      <c r="G18" s="554">
        <f>'[1]Bilanci i Energjise'!F21</f>
        <v>0.02297304851367534</v>
      </c>
      <c r="H18" s="554">
        <f>'[1]Bilanci i Energjise'!G21</f>
        <v>0.02286479877477236</v>
      </c>
      <c r="I18" s="554">
        <f>'[1]Bilanci i Energjise'!H21</f>
        <v>0.021614500493761485</v>
      </c>
      <c r="J18" s="554">
        <f>'[1]Bilanci i Energjise'!I21</f>
        <v>0.021995166925300298</v>
      </c>
      <c r="K18" s="554">
        <f>'[1]Bilanci i Energjise'!J21</f>
        <v>0.02226073773455816</v>
      </c>
      <c r="L18" s="554">
        <f>'[1]Bilanci i Energjise'!K21</f>
        <v>0.019052932533168976</v>
      </c>
      <c r="M18" s="555">
        <f>'[1]Bilanci i Energjise'!P21</f>
        <v>0.02180023211194798</v>
      </c>
      <c r="N18" s="556"/>
      <c r="O18" s="553"/>
    </row>
    <row r="19" spans="1:14" ht="18" customHeight="1">
      <c r="A19" s="73" t="s">
        <v>42</v>
      </c>
      <c r="B19" s="1033"/>
      <c r="C19" s="1034" t="s">
        <v>534</v>
      </c>
      <c r="D19" s="539"/>
      <c r="E19" s="554">
        <f>'[1]Bilanci i Energjise'!D26</f>
        <v>0.1747348105121501</v>
      </c>
      <c r="F19" s="554">
        <f>'[1]Bilanci i Energjise'!E26</f>
        <v>0.17319828033493145</v>
      </c>
      <c r="G19" s="554">
        <f>'[1]Bilanci i Energjise'!F26</f>
        <v>0.1731036883968889</v>
      </c>
      <c r="H19" s="554">
        <f>'[1]Bilanci i Energjise'!G26</f>
        <v>0.1731898769842375</v>
      </c>
      <c r="I19" s="554">
        <f>'[1]Bilanci i Energjise'!H26</f>
        <v>0.1742344333385327</v>
      </c>
      <c r="J19" s="554">
        <f>'[1]Bilanci i Energjise'!I26</f>
        <v>0.17390784103088416</v>
      </c>
      <c r="K19" s="554">
        <f>'[1]Bilanci i Energjise'!J26</f>
        <v>0.1736852380417827</v>
      </c>
      <c r="L19" s="554">
        <f>'[1]Bilanci i Energjise'!K26</f>
        <v>0.17638824518428964</v>
      </c>
      <c r="M19" s="555">
        <f>'[1]Bilanci i Energjise'!P26</f>
        <v>0.17408889434492536</v>
      </c>
      <c r="N19" s="556"/>
    </row>
    <row r="20" spans="1:15" ht="18" customHeight="1">
      <c r="A20" s="73" t="s">
        <v>43</v>
      </c>
      <c r="B20" s="1033"/>
      <c r="C20" s="1034" t="s">
        <v>535</v>
      </c>
      <c r="D20" s="539"/>
      <c r="E20" s="554">
        <f>'[1]Bilanci i Energjise'!D28</f>
        <v>0.14295934992702147</v>
      </c>
      <c r="F20" s="554">
        <f>'[1]Bilanci i Energjise'!E28</f>
        <v>0.084287324446762</v>
      </c>
      <c r="G20" s="554">
        <f>'[1]Bilanci i Energjise'!F28</f>
        <v>0.09455601180224722</v>
      </c>
      <c r="H20" s="554">
        <f>'[1]Bilanci i Energjise'!G28</f>
        <v>0.06605269572625422</v>
      </c>
      <c r="I20" s="554">
        <f>'[1]Bilanci i Energjise'!H28</f>
        <v>0.06680829213545711</v>
      </c>
      <c r="J20" s="554">
        <f>'[1]Bilanci i Energjise'!I28</f>
        <v>0.08934324204858043</v>
      </c>
      <c r="K20" s="554">
        <f>'[1]Bilanci i Energjise'!J28</f>
        <v>0.054878839508212804</v>
      </c>
      <c r="L20" s="554">
        <f>'[1]Bilanci i Energjise'!K28</f>
        <v>0.04089400416653393</v>
      </c>
      <c r="M20" s="555">
        <f>'[1]Bilanci i Energjise'!P28</f>
        <v>0.08282714898137168</v>
      </c>
      <c r="N20" s="556"/>
      <c r="O20" s="557"/>
    </row>
    <row r="21" spans="1:15" s="535" customFormat="1" ht="18" customHeight="1">
      <c r="A21" s="546" t="s">
        <v>44</v>
      </c>
      <c r="B21" s="1191" t="s">
        <v>536</v>
      </c>
      <c r="C21" s="1192"/>
      <c r="D21" s="539" t="s">
        <v>45</v>
      </c>
      <c r="E21" s="548">
        <f aca="true" t="shared" si="6" ref="E21:M21">SUM(E22,E26:E28)</f>
        <v>476093.5486</v>
      </c>
      <c r="F21" s="548">
        <f t="shared" si="6"/>
        <v>406921.9044</v>
      </c>
      <c r="G21" s="548">
        <f t="shared" si="6"/>
        <v>388979.4297</v>
      </c>
      <c r="H21" s="548">
        <f t="shared" si="6"/>
        <v>366322.5272</v>
      </c>
      <c r="I21" s="548">
        <f t="shared" si="6"/>
        <v>352106.78802595695</v>
      </c>
      <c r="J21" s="548">
        <f t="shared" si="6"/>
        <v>348825.94552793296</v>
      </c>
      <c r="K21" s="548">
        <f t="shared" si="6"/>
        <v>399007.6031769285</v>
      </c>
      <c r="L21" s="548">
        <f t="shared" si="6"/>
        <v>415763.28013893036</v>
      </c>
      <c r="M21" s="549">
        <f t="shared" si="6"/>
        <v>3154021.0267697484</v>
      </c>
      <c r="N21" s="558"/>
      <c r="O21" s="557"/>
    </row>
    <row r="22" spans="1:13" ht="18" customHeight="1">
      <c r="A22" s="73" t="s">
        <v>46</v>
      </c>
      <c r="B22" s="1183" t="s">
        <v>537</v>
      </c>
      <c r="C22" s="1184"/>
      <c r="D22" s="559" t="s">
        <v>47</v>
      </c>
      <c r="E22" s="537">
        <f aca="true" t="shared" si="7" ref="E22:K22">SUM(E23:E25)</f>
        <v>125048.3556</v>
      </c>
      <c r="F22" s="537">
        <f t="shared" si="7"/>
        <v>121046.79139999999</v>
      </c>
      <c r="G22" s="537">
        <f t="shared" si="7"/>
        <v>119765.45969999999</v>
      </c>
      <c r="H22" s="537">
        <f t="shared" si="7"/>
        <v>120075.40120000001</v>
      </c>
      <c r="I22" s="537">
        <f t="shared" si="7"/>
        <v>118649.94248696527</v>
      </c>
      <c r="J22" s="537">
        <f t="shared" si="7"/>
        <v>125359.24999994106</v>
      </c>
      <c r="K22" s="537">
        <f t="shared" si="7"/>
        <v>157948.28834493915</v>
      </c>
      <c r="L22" s="537">
        <v>160417.04331794585</v>
      </c>
      <c r="M22" s="540">
        <f>SUM(M23:M25)</f>
        <v>1048310.5320497912</v>
      </c>
    </row>
    <row r="23" spans="1:13" ht="18" customHeight="1">
      <c r="A23" s="73" t="s">
        <v>48</v>
      </c>
      <c r="B23" s="1193" t="s">
        <v>538</v>
      </c>
      <c r="C23" s="1194"/>
      <c r="D23" s="539"/>
      <c r="E23" s="537"/>
      <c r="F23" s="537"/>
      <c r="G23" s="537"/>
      <c r="H23" s="537"/>
      <c r="I23" s="543"/>
      <c r="J23" s="543"/>
      <c r="K23" s="543"/>
      <c r="L23" s="543"/>
      <c r="M23" s="540">
        <f>SUM(E23:F23)</f>
        <v>0</v>
      </c>
    </row>
    <row r="24" spans="1:15" ht="18" customHeight="1">
      <c r="A24" s="73" t="s">
        <v>49</v>
      </c>
      <c r="B24" s="1036"/>
      <c r="C24" s="1037" t="s">
        <v>539</v>
      </c>
      <c r="D24" s="539"/>
      <c r="E24" s="537">
        <v>701.5686</v>
      </c>
      <c r="F24" s="537">
        <v>582.3194</v>
      </c>
      <c r="G24" s="537">
        <v>522.3767</v>
      </c>
      <c r="H24" s="537">
        <v>402.4912</v>
      </c>
      <c r="I24" s="543">
        <v>436.89709999999997</v>
      </c>
      <c r="J24" s="543">
        <v>385.92095</v>
      </c>
      <c r="K24" s="543">
        <v>438.18940000000003</v>
      </c>
      <c r="L24" s="543">
        <v>421.70445</v>
      </c>
      <c r="M24" s="540">
        <f>SUM(E24:L24)</f>
        <v>3891.467800000001</v>
      </c>
      <c r="O24" s="541"/>
    </row>
    <row r="25" spans="1:15" ht="22.5" customHeight="1">
      <c r="A25" s="73" t="s">
        <v>50</v>
      </c>
      <c r="B25" s="1036"/>
      <c r="C25" s="1038" t="s">
        <v>540</v>
      </c>
      <c r="D25" s="560"/>
      <c r="E25" s="537">
        <v>124346.787</v>
      </c>
      <c r="F25" s="537">
        <v>120464.472</v>
      </c>
      <c r="G25" s="537">
        <v>119243.083</v>
      </c>
      <c r="H25" s="537">
        <v>119672.91</v>
      </c>
      <c r="I25" s="543">
        <v>118213.04538696527</v>
      </c>
      <c r="J25" s="543">
        <v>124973.32904994107</v>
      </c>
      <c r="K25" s="543">
        <v>157510.09894493915</v>
      </c>
      <c r="L25" s="543">
        <v>159995.33886794586</v>
      </c>
      <c r="M25" s="540">
        <f>SUM(E25:L25)</f>
        <v>1044419.0642497912</v>
      </c>
      <c r="O25" s="541"/>
    </row>
    <row r="26" spans="1:15" ht="18" customHeight="1">
      <c r="A26" s="73" t="s">
        <v>51</v>
      </c>
      <c r="B26" s="1183" t="s">
        <v>541</v>
      </c>
      <c r="C26" s="1184"/>
      <c r="D26" s="559"/>
      <c r="E26" s="537">
        <v>29544.159</v>
      </c>
      <c r="F26" s="537">
        <v>21805.265</v>
      </c>
      <c r="G26" s="537">
        <v>27697.403</v>
      </c>
      <c r="H26" s="561">
        <v>26920.046</v>
      </c>
      <c r="I26" s="543">
        <v>25608.490758991717</v>
      </c>
      <c r="J26" s="543">
        <v>25923.177427991868</v>
      </c>
      <c r="K26" s="543">
        <v>28006.282831989287</v>
      </c>
      <c r="L26" s="543">
        <v>28957.15720098448</v>
      </c>
      <c r="M26" s="540">
        <f>SUM(E26:L26)</f>
        <v>214461.98121995735</v>
      </c>
      <c r="O26" s="541"/>
    </row>
    <row r="27" spans="1:15" ht="18" customHeight="1">
      <c r="A27" s="73" t="s">
        <v>52</v>
      </c>
      <c r="B27" s="1183" t="s">
        <v>542</v>
      </c>
      <c r="C27" s="1184"/>
      <c r="D27" s="559"/>
      <c r="E27" s="537">
        <v>25119.241</v>
      </c>
      <c r="F27" s="537">
        <v>19943.489</v>
      </c>
      <c r="G27" s="537">
        <v>19617.542</v>
      </c>
      <c r="H27" s="537">
        <v>18266.108</v>
      </c>
      <c r="I27" s="543">
        <v>13330.954</v>
      </c>
      <c r="J27" s="543">
        <v>12230.549</v>
      </c>
      <c r="K27" s="543">
        <v>15191.714</v>
      </c>
      <c r="L27" s="543">
        <v>15465.453</v>
      </c>
      <c r="M27" s="540">
        <f>SUM(E27:L27)</f>
        <v>139165.05000000002</v>
      </c>
      <c r="O27" s="541"/>
    </row>
    <row r="28" spans="1:15" ht="18" customHeight="1">
      <c r="A28" s="73" t="s">
        <v>53</v>
      </c>
      <c r="B28" s="1183" t="s">
        <v>543</v>
      </c>
      <c r="C28" s="1184"/>
      <c r="D28" s="559" t="s">
        <v>54</v>
      </c>
      <c r="E28" s="537">
        <f aca="true" t="shared" si="8" ref="E28:K28">SUM(E29:E30)</f>
        <v>296381.793</v>
      </c>
      <c r="F28" s="537">
        <f t="shared" si="8"/>
        <v>244126.359</v>
      </c>
      <c r="G28" s="537">
        <f t="shared" si="8"/>
        <v>221899.025</v>
      </c>
      <c r="H28" s="537">
        <f t="shared" si="8"/>
        <v>201060.972</v>
      </c>
      <c r="I28" s="537">
        <f t="shared" si="8"/>
        <v>194517.40077999997</v>
      </c>
      <c r="J28" s="537">
        <f t="shared" si="8"/>
        <v>185312.9691</v>
      </c>
      <c r="K28" s="537">
        <f t="shared" si="8"/>
        <v>197861.318</v>
      </c>
      <c r="L28" s="537">
        <v>210923.62662000002</v>
      </c>
      <c r="M28" s="540">
        <f>SUM(M29:M30)</f>
        <v>1752083.4634999998</v>
      </c>
      <c r="O28" s="541"/>
    </row>
    <row r="29" spans="1:15" ht="18" customHeight="1">
      <c r="A29" s="73" t="s">
        <v>55</v>
      </c>
      <c r="B29" s="1036"/>
      <c r="C29" s="1037" t="s">
        <v>544</v>
      </c>
      <c r="D29" s="539"/>
      <c r="E29" s="537">
        <v>290131.875</v>
      </c>
      <c r="F29" s="537">
        <v>238239.138</v>
      </c>
      <c r="G29" s="537">
        <v>215788.112</v>
      </c>
      <c r="H29" s="537">
        <v>195316.87</v>
      </c>
      <c r="I29" s="537">
        <v>188289.91377999997</v>
      </c>
      <c r="J29" s="537">
        <v>179195.8951</v>
      </c>
      <c r="K29" s="537">
        <v>191589.927</v>
      </c>
      <c r="L29" s="537">
        <v>204480.86362000002</v>
      </c>
      <c r="M29" s="540">
        <f aca="true" t="shared" si="9" ref="M29:M35">SUM(E29:L29)</f>
        <v>1703032.5945</v>
      </c>
      <c r="O29" s="541"/>
    </row>
    <row r="30" spans="1:15" ht="18" customHeight="1">
      <c r="A30" s="73" t="s">
        <v>56</v>
      </c>
      <c r="B30" s="1036"/>
      <c r="C30" s="1037" t="s">
        <v>545</v>
      </c>
      <c r="D30" s="539"/>
      <c r="E30" s="537">
        <v>6249.918</v>
      </c>
      <c r="F30" s="537">
        <v>5887.221</v>
      </c>
      <c r="G30" s="537">
        <v>6110.913</v>
      </c>
      <c r="H30" s="537">
        <v>5744.102</v>
      </c>
      <c r="I30" s="537">
        <v>6227.487</v>
      </c>
      <c r="J30" s="537">
        <v>6117.074</v>
      </c>
      <c r="K30" s="537">
        <v>6271.391</v>
      </c>
      <c r="L30" s="537">
        <v>6442.763</v>
      </c>
      <c r="M30" s="540">
        <f t="shared" si="9"/>
        <v>49050.869</v>
      </c>
      <c r="O30" s="541"/>
    </row>
    <row r="31" spans="1:15" s="535" customFormat="1" ht="18" customHeight="1">
      <c r="A31" s="546" t="s">
        <v>57</v>
      </c>
      <c r="B31" s="1185" t="s">
        <v>546</v>
      </c>
      <c r="C31" s="1186"/>
      <c r="D31" s="547"/>
      <c r="E31" s="548">
        <f>'[1]Faturime dhe Arketime 2017'!R13</f>
        <v>6410680.965949999</v>
      </c>
      <c r="F31" s="548">
        <f>'[1]Faturime dhe Arketime 2017'!O45</f>
        <v>6192710.510889999</v>
      </c>
      <c r="G31" s="548">
        <f>'[1]Faturime dhe Arketime 2017'!R45</f>
        <v>5323527.404269296</v>
      </c>
      <c r="H31" s="548">
        <f>'[1]Faturime dhe Arketime 2017'!O73</f>
        <v>5141318.41023</v>
      </c>
      <c r="I31" s="548">
        <f>'[1]Faturime dhe Arketime 2017'!O87</f>
        <v>4857464.205450002</v>
      </c>
      <c r="J31" s="548">
        <f>'[2]Faturime dhe Arketime 2017'!O121</f>
        <v>4667810.036059999</v>
      </c>
      <c r="K31" s="562">
        <f>'[1]Faturime dhe Arketime 2017'!O115</f>
        <v>4675924.262030001</v>
      </c>
      <c r="L31" s="562">
        <f>'[1]Faturime dhe Arketime 2017'!O129</f>
        <v>5435008.841619999</v>
      </c>
      <c r="M31" s="549">
        <f t="shared" si="9"/>
        <v>42704444.63649929</v>
      </c>
      <c r="O31" s="74"/>
    </row>
    <row r="32" spans="1:15" s="535" customFormat="1" ht="18" customHeight="1">
      <c r="A32" s="546" t="s">
        <v>58</v>
      </c>
      <c r="B32" s="1185" t="s">
        <v>547</v>
      </c>
      <c r="C32" s="1186"/>
      <c r="D32" s="547" t="s">
        <v>59</v>
      </c>
      <c r="E32" s="548">
        <f>SUM(E33:E35)</f>
        <v>5463200.3849302</v>
      </c>
      <c r="F32" s="548">
        <f>SUM(F33:F35)</f>
        <v>5424918.807760101</v>
      </c>
      <c r="G32" s="548">
        <f>'[1]Faturime dhe Arketime 2017'!P59</f>
        <v>5625504.909850095</v>
      </c>
      <c r="H32" s="548">
        <f>'[1]Faturime dhe Arketime 2017'!P73</f>
        <v>4857514.5782400025</v>
      </c>
      <c r="I32" s="548">
        <f>'[1]Faturime dhe Arketime 2017'!P87</f>
        <v>5133216.830870504</v>
      </c>
      <c r="J32" s="548">
        <f>SUM(J33:J35)</f>
        <v>4286856.4907701</v>
      </c>
      <c r="K32" s="548">
        <f>'[1]Faturime dhe Arketime 2017'!P115</f>
        <v>4901743.862290004</v>
      </c>
      <c r="L32" s="548">
        <f>'[1]Faturime dhe Arketime 2017'!P129</f>
        <v>5295260.864940098</v>
      </c>
      <c r="M32" s="549">
        <f t="shared" si="9"/>
        <v>40988216.72965111</v>
      </c>
      <c r="N32" s="563"/>
      <c r="O32" s="74"/>
    </row>
    <row r="33" spans="1:15" ht="18" customHeight="1">
      <c r="A33" s="73" t="s">
        <v>60</v>
      </c>
      <c r="B33" s="1036"/>
      <c r="C33" s="1034" t="s">
        <v>548</v>
      </c>
      <c r="D33" s="539"/>
      <c r="E33" s="537">
        <v>4034913.94905</v>
      </c>
      <c r="F33" s="537">
        <v>3823606.2949398</v>
      </c>
      <c r="G33" s="537">
        <v>3566251.7742799004</v>
      </c>
      <c r="H33" s="537">
        <v>3192614.46993</v>
      </c>
      <c r="I33" s="537">
        <v>3125779.4636999</v>
      </c>
      <c r="J33" s="537">
        <v>2832640.30973</v>
      </c>
      <c r="K33" s="543">
        <v>3056521.1773299</v>
      </c>
      <c r="L33" s="543">
        <v>3642695.06767</v>
      </c>
      <c r="M33" s="540">
        <f t="shared" si="9"/>
        <v>27275022.506629504</v>
      </c>
      <c r="O33" s="74"/>
    </row>
    <row r="34" spans="1:15" ht="18" customHeight="1">
      <c r="A34" s="73" t="s">
        <v>61</v>
      </c>
      <c r="B34" s="1036"/>
      <c r="C34" s="1038" t="s">
        <v>549</v>
      </c>
      <c r="D34" s="560"/>
      <c r="E34" s="537"/>
      <c r="F34" s="537">
        <v>1116501.46329</v>
      </c>
      <c r="G34" s="537">
        <v>1397719.50737</v>
      </c>
      <c r="H34" s="537">
        <v>1333000.78212</v>
      </c>
      <c r="I34" s="537">
        <v>1473740.63026</v>
      </c>
      <c r="J34" s="537">
        <v>1223079.6570299</v>
      </c>
      <c r="K34" s="543">
        <v>1543112.85889</v>
      </c>
      <c r="L34" s="543">
        <v>1652565.7972701</v>
      </c>
      <c r="M34" s="540">
        <f t="shared" si="9"/>
        <v>9739720.69623</v>
      </c>
      <c r="O34" s="74"/>
    </row>
    <row r="35" spans="1:15" ht="18" customHeight="1">
      <c r="A35" s="73" t="s">
        <v>62</v>
      </c>
      <c r="B35" s="1036"/>
      <c r="C35" s="1038" t="s">
        <v>550</v>
      </c>
      <c r="D35" s="539"/>
      <c r="E35" s="537">
        <v>1428286.4358802</v>
      </c>
      <c r="F35" s="537">
        <v>484811.0495303</v>
      </c>
      <c r="G35" s="537">
        <v>661533.628200199</v>
      </c>
      <c r="H35" s="537">
        <v>331899.326189999</v>
      </c>
      <c r="I35" s="537">
        <v>533696.7369105999</v>
      </c>
      <c r="J35" s="537">
        <v>231136.5240102</v>
      </c>
      <c r="K35" s="543">
        <v>302109.826070101</v>
      </c>
      <c r="L35" s="543">
        <v>299058.1904501</v>
      </c>
      <c r="M35" s="540">
        <f t="shared" si="9"/>
        <v>4272531.717241699</v>
      </c>
      <c r="O35" s="74"/>
    </row>
    <row r="36" spans="1:15" s="535" customFormat="1" ht="18" customHeight="1">
      <c r="A36" s="546" t="s">
        <v>60</v>
      </c>
      <c r="B36" s="1185" t="s">
        <v>551</v>
      </c>
      <c r="C36" s="1186"/>
      <c r="D36" s="547" t="s">
        <v>63</v>
      </c>
      <c r="E36" s="564">
        <f aca="true" t="shared" si="10" ref="E36:J39">E32/E$31</f>
        <v>0.8522028180699845</v>
      </c>
      <c r="F36" s="564">
        <f t="shared" si="10"/>
        <v>0.8760168585662576</v>
      </c>
      <c r="G36" s="564">
        <f t="shared" si="10"/>
        <v>1.0567250776878923</v>
      </c>
      <c r="H36" s="564">
        <f t="shared" si="10"/>
        <v>0.9447994056494741</v>
      </c>
      <c r="I36" s="564">
        <f t="shared" si="10"/>
        <v>1.0567688435276807</v>
      </c>
      <c r="J36" s="564">
        <f t="shared" si="10"/>
        <v>0.9183870932306718</v>
      </c>
      <c r="K36" s="564">
        <f>K32/K$31</f>
        <v>1.0482941099139973</v>
      </c>
      <c r="L36" s="564">
        <f aca="true" t="shared" si="11" ref="L36:M39">L32/L$31</f>
        <v>0.9742874426238749</v>
      </c>
      <c r="M36" s="565">
        <f>M32/M$31</f>
        <v>0.9598114921887702</v>
      </c>
      <c r="O36" s="74"/>
    </row>
    <row r="37" spans="1:15" ht="18" customHeight="1">
      <c r="A37" s="73" t="s">
        <v>64</v>
      </c>
      <c r="B37" s="1036"/>
      <c r="C37" s="1034" t="s">
        <v>552</v>
      </c>
      <c r="D37" s="539" t="s">
        <v>65</v>
      </c>
      <c r="E37" s="566">
        <f t="shared" si="10"/>
        <v>0.6294048901327701</v>
      </c>
      <c r="F37" s="566">
        <f t="shared" si="10"/>
        <v>0.6174366278249106</v>
      </c>
      <c r="G37" s="566">
        <f t="shared" si="10"/>
        <v>0.6699039008270874</v>
      </c>
      <c r="H37" s="566">
        <f t="shared" si="10"/>
        <v>0.6209719405002144</v>
      </c>
      <c r="I37" s="566">
        <f t="shared" si="10"/>
        <v>0.6435002568197666</v>
      </c>
      <c r="J37" s="566">
        <f t="shared" si="10"/>
        <v>0.6068456702066163</v>
      </c>
      <c r="K37" s="566">
        <f>K33/K$31</f>
        <v>0.6536720883504955</v>
      </c>
      <c r="L37" s="566">
        <f t="shared" si="11"/>
        <v>0.6702279929657357</v>
      </c>
      <c r="M37" s="567">
        <f>M33/M$31</f>
        <v>0.6386928278495317</v>
      </c>
      <c r="O37" s="74"/>
    </row>
    <row r="38" spans="1:15" ht="18" customHeight="1">
      <c r="A38" s="73" t="s">
        <v>66</v>
      </c>
      <c r="B38" s="1036"/>
      <c r="C38" s="1038" t="s">
        <v>553</v>
      </c>
      <c r="D38" s="539" t="s">
        <v>67</v>
      </c>
      <c r="E38" s="566">
        <f t="shared" si="10"/>
        <v>0</v>
      </c>
      <c r="F38" s="554">
        <f t="shared" si="10"/>
        <v>0.18029285582244015</v>
      </c>
      <c r="G38" s="566">
        <f t="shared" si="10"/>
        <v>0.2625551445924885</v>
      </c>
      <c r="H38" s="566">
        <f t="shared" si="10"/>
        <v>0.2592721702409339</v>
      </c>
      <c r="I38" s="566">
        <f t="shared" si="10"/>
        <v>0.30339711584626505</v>
      </c>
      <c r="J38" s="566">
        <f t="shared" si="10"/>
        <v>0.26202429995679</v>
      </c>
      <c r="K38" s="566">
        <f>K34/K$31</f>
        <v>0.3300123724031566</v>
      </c>
      <c r="L38" s="566">
        <f>L34/L$31</f>
        <v>0.3040594496581397</v>
      </c>
      <c r="M38" s="567">
        <f t="shared" si="11"/>
        <v>0.22807276336537358</v>
      </c>
      <c r="O38" s="74"/>
    </row>
    <row r="39" spans="1:15" ht="18" customHeight="1">
      <c r="A39" s="73" t="s">
        <v>68</v>
      </c>
      <c r="B39" s="1036"/>
      <c r="C39" s="1038" t="s">
        <v>554</v>
      </c>
      <c r="D39" s="539" t="s">
        <v>69</v>
      </c>
      <c r="E39" s="566">
        <f t="shared" si="10"/>
        <v>0.22279792793721442</v>
      </c>
      <c r="F39" s="566">
        <f t="shared" si="10"/>
        <v>0.07828737491890678</v>
      </c>
      <c r="G39" s="566">
        <f t="shared" si="10"/>
        <v>0.12426603226831716</v>
      </c>
      <c r="H39" s="566">
        <f t="shared" si="10"/>
        <v>0.06455529490832514</v>
      </c>
      <c r="I39" s="566">
        <f t="shared" si="10"/>
        <v>0.10987147086164838</v>
      </c>
      <c r="J39" s="566">
        <f t="shared" si="10"/>
        <v>0.0495171230672655</v>
      </c>
      <c r="K39" s="566">
        <f>K35/K$31</f>
        <v>0.06460964916034448</v>
      </c>
      <c r="L39" s="566">
        <f>L35/L$31</f>
        <v>0.05502441654923978</v>
      </c>
      <c r="M39" s="567">
        <f t="shared" si="11"/>
        <v>0.10004887672956612</v>
      </c>
      <c r="O39" s="74"/>
    </row>
    <row r="40" spans="1:15" s="535" customFormat="1" ht="18" customHeight="1" thickBot="1">
      <c r="A40" s="568" t="s">
        <v>70</v>
      </c>
      <c r="B40" s="1179" t="s">
        <v>555</v>
      </c>
      <c r="C40" s="1180"/>
      <c r="D40" s="569"/>
      <c r="E40" s="570">
        <f>'[1]Faturime dhe Arketime 2017'!R30</f>
        <v>6192710.510889999</v>
      </c>
      <c r="F40" s="570">
        <f>'[1]Faturime dhe Arketime 2017'!R45</f>
        <v>5323527.404269296</v>
      </c>
      <c r="G40" s="570">
        <f>'[1]Faturime dhe Arketime 2017'!R59</f>
        <v>5141318.41023</v>
      </c>
      <c r="H40" s="570">
        <f>'[1]Faturime dhe Arketime 2017'!R73</f>
        <v>4857464.205450002</v>
      </c>
      <c r="I40" s="570">
        <f>'[1]Faturime dhe Arketime 2017'!R87</f>
        <v>4667810.036059999</v>
      </c>
      <c r="J40" s="570">
        <f>'[2]Faturime dhe Arketime 2017'!R121</f>
        <v>4675924.262030001</v>
      </c>
      <c r="K40" s="571">
        <f>'[1]Faturime dhe Arketime 2017'!R115</f>
        <v>5435008.841619999</v>
      </c>
      <c r="L40" s="571">
        <f>'[1]Faturime dhe Arketime 2017'!R129</f>
        <v>5635938.716029998</v>
      </c>
      <c r="M40" s="572">
        <f>SUM(E40:L40)</f>
        <v>41929702.38657929</v>
      </c>
      <c r="O40" s="74"/>
    </row>
    <row r="41" spans="1:13" ht="18" customHeight="1" thickBot="1">
      <c r="A41" s="573"/>
      <c r="B41" s="1039"/>
      <c r="C41" s="1040"/>
      <c r="D41" s="575"/>
      <c r="E41" s="576"/>
      <c r="F41" s="577"/>
      <c r="G41" s="577"/>
      <c r="H41" s="577"/>
      <c r="I41" s="577"/>
      <c r="J41" s="577"/>
      <c r="K41" s="577"/>
      <c r="L41" s="577"/>
      <c r="M41" s="578"/>
    </row>
    <row r="42" spans="1:15" ht="18" customHeight="1">
      <c r="A42" s="533">
        <v>1</v>
      </c>
      <c r="B42" s="1181" t="s">
        <v>556</v>
      </c>
      <c r="C42" s="1182"/>
      <c r="D42" s="534"/>
      <c r="E42" s="579">
        <v>1191140</v>
      </c>
      <c r="F42" s="579">
        <v>1192631</v>
      </c>
      <c r="G42" s="579">
        <v>1194338</v>
      </c>
      <c r="H42" s="579">
        <v>1196393</v>
      </c>
      <c r="I42" s="579">
        <v>1198115</v>
      </c>
      <c r="J42" s="579">
        <v>1199792</v>
      </c>
      <c r="K42" s="579">
        <v>1201961</v>
      </c>
      <c r="L42" s="579">
        <v>1202724</v>
      </c>
      <c r="M42" s="580">
        <f>K42</f>
        <v>1201961</v>
      </c>
      <c r="O42" s="541"/>
    </row>
    <row r="43" spans="1:15" ht="18" customHeight="1">
      <c r="A43" s="546">
        <v>2</v>
      </c>
      <c r="B43" s="1175" t="s">
        <v>557</v>
      </c>
      <c r="C43" s="1176"/>
      <c r="D43" s="581"/>
      <c r="E43" s="582">
        <v>1041546</v>
      </c>
      <c r="F43" s="582">
        <v>941467</v>
      </c>
      <c r="G43" s="582">
        <v>960556</v>
      </c>
      <c r="H43" s="583">
        <v>975484</v>
      </c>
      <c r="I43" s="582">
        <v>960100</v>
      </c>
      <c r="J43" s="582">
        <v>934809</v>
      </c>
      <c r="K43" s="582">
        <v>957620</v>
      </c>
      <c r="L43" s="582">
        <v>980465</v>
      </c>
      <c r="M43" s="584">
        <f aca="true" t="shared" si="12" ref="M43:M51">SUM(E43:L43)</f>
        <v>7752047</v>
      </c>
      <c r="O43" s="541"/>
    </row>
    <row r="44" spans="1:15" ht="18" customHeight="1">
      <c r="A44" s="546">
        <v>3</v>
      </c>
      <c r="B44" s="1175" t="s">
        <v>558</v>
      </c>
      <c r="C44" s="1176"/>
      <c r="D44" s="539"/>
      <c r="E44" s="582">
        <v>475549.274382979</v>
      </c>
      <c r="F44" s="582">
        <v>406463.691238986</v>
      </c>
      <c r="G44" s="582">
        <v>388209.430891974</v>
      </c>
      <c r="H44" s="582">
        <v>365938.487287959</v>
      </c>
      <c r="I44" s="582">
        <v>351768.860925957</v>
      </c>
      <c r="J44" s="582">
        <v>348538.589577933</v>
      </c>
      <c r="K44" s="582">
        <v>398682.328776928</v>
      </c>
      <c r="L44" s="582">
        <v>415476.03668893</v>
      </c>
      <c r="M44" s="584">
        <f t="shared" si="12"/>
        <v>3150626.699771646</v>
      </c>
      <c r="O44" s="541"/>
    </row>
    <row r="45" spans="1:15" ht="18" customHeight="1">
      <c r="A45" s="546">
        <v>4</v>
      </c>
      <c r="B45" s="1175" t="s">
        <v>559</v>
      </c>
      <c r="C45" s="1176"/>
      <c r="D45" s="539"/>
      <c r="E45" s="582">
        <v>241190</v>
      </c>
      <c r="F45" s="582">
        <v>253551</v>
      </c>
      <c r="G45" s="582">
        <v>239223</v>
      </c>
      <c r="H45" s="582">
        <v>224866</v>
      </c>
      <c r="I45" s="582">
        <v>244254</v>
      </c>
      <c r="J45" s="582">
        <v>271551</v>
      </c>
      <c r="K45" s="582">
        <v>252986</v>
      </c>
      <c r="L45" s="582">
        <v>228635</v>
      </c>
      <c r="M45" s="584">
        <f t="shared" si="12"/>
        <v>1956256</v>
      </c>
      <c r="O45" s="541"/>
    </row>
    <row r="46" spans="1:15" ht="18" customHeight="1">
      <c r="A46" s="546">
        <v>5</v>
      </c>
      <c r="B46" s="1175" t="s">
        <v>560</v>
      </c>
      <c r="C46" s="1176"/>
      <c r="D46" s="539"/>
      <c r="E46" s="582">
        <v>1</v>
      </c>
      <c r="F46" s="582">
        <v>1</v>
      </c>
      <c r="G46" s="582">
        <v>2</v>
      </c>
      <c r="H46" s="582">
        <v>1</v>
      </c>
      <c r="I46" s="582">
        <v>1</v>
      </c>
      <c r="J46" s="582">
        <v>1</v>
      </c>
      <c r="K46" s="582">
        <v>2</v>
      </c>
      <c r="L46" s="582">
        <v>1</v>
      </c>
      <c r="M46" s="584">
        <f t="shared" si="12"/>
        <v>10</v>
      </c>
      <c r="O46" s="541"/>
    </row>
    <row r="47" spans="1:15" ht="18" customHeight="1">
      <c r="A47" s="546">
        <v>6</v>
      </c>
      <c r="B47" s="1175" t="s">
        <v>561</v>
      </c>
      <c r="C47" s="1176"/>
      <c r="D47" s="539"/>
      <c r="E47" s="582">
        <f>72000/1000</f>
        <v>72</v>
      </c>
      <c r="F47" s="582">
        <f>102000/1000</f>
        <v>102</v>
      </c>
      <c r="G47" s="582">
        <f>454980/1000</f>
        <v>454.98</v>
      </c>
      <c r="H47" s="582">
        <v>114</v>
      </c>
      <c r="I47" s="582">
        <v>112</v>
      </c>
      <c r="J47" s="582">
        <v>70</v>
      </c>
      <c r="K47" s="582">
        <v>82.421</v>
      </c>
      <c r="L47" s="582">
        <v>40</v>
      </c>
      <c r="M47" s="584">
        <f t="shared" si="12"/>
        <v>1047.401</v>
      </c>
      <c r="O47" s="541"/>
    </row>
    <row r="48" spans="1:15" ht="18" customHeight="1">
      <c r="A48" s="546">
        <v>7</v>
      </c>
      <c r="B48" s="1175" t="s">
        <v>562</v>
      </c>
      <c r="C48" s="1176"/>
      <c r="D48" s="539"/>
      <c r="E48" s="582">
        <v>0</v>
      </c>
      <c r="F48" s="582">
        <v>0</v>
      </c>
      <c r="G48" s="582">
        <v>2</v>
      </c>
      <c r="H48" s="582">
        <v>1</v>
      </c>
      <c r="I48" s="582">
        <v>0</v>
      </c>
      <c r="J48" s="582">
        <v>0</v>
      </c>
      <c r="K48" s="582">
        <v>0</v>
      </c>
      <c r="L48" s="582">
        <v>0</v>
      </c>
      <c r="M48" s="584">
        <f t="shared" si="12"/>
        <v>3</v>
      </c>
      <c r="O48" s="541"/>
    </row>
    <row r="49" spans="1:15" ht="18" customHeight="1">
      <c r="A49" s="546">
        <v>8</v>
      </c>
      <c r="B49" s="1175" t="s">
        <v>563</v>
      </c>
      <c r="C49" s="1176"/>
      <c r="D49" s="539"/>
      <c r="E49" s="582">
        <v>0</v>
      </c>
      <c r="F49" s="582">
        <v>0</v>
      </c>
      <c r="G49" s="582">
        <v>-19444</v>
      </c>
      <c r="H49" s="582">
        <v>-19361</v>
      </c>
      <c r="I49" s="582">
        <v>0</v>
      </c>
      <c r="J49" s="582">
        <v>0</v>
      </c>
      <c r="K49" s="582">
        <v>0</v>
      </c>
      <c r="L49" s="582">
        <v>0</v>
      </c>
      <c r="M49" s="584">
        <f t="shared" si="12"/>
        <v>-38805</v>
      </c>
      <c r="O49" s="541"/>
    </row>
    <row r="50" spans="1:15" ht="18" customHeight="1">
      <c r="A50" s="546">
        <v>9</v>
      </c>
      <c r="B50" s="1175" t="s">
        <v>564</v>
      </c>
      <c r="C50" s="1176"/>
      <c r="D50" s="539"/>
      <c r="E50" s="582">
        <v>401618</v>
      </c>
      <c r="F50" s="585">
        <v>362080</v>
      </c>
      <c r="G50" s="582">
        <v>429391</v>
      </c>
      <c r="H50" s="582">
        <v>380036</v>
      </c>
      <c r="I50" s="582">
        <v>438950</v>
      </c>
      <c r="J50" s="582">
        <v>388292</v>
      </c>
      <c r="K50" s="582">
        <v>521302</v>
      </c>
      <c r="L50" s="582">
        <v>549357</v>
      </c>
      <c r="M50" s="584">
        <f t="shared" si="12"/>
        <v>3471026</v>
      </c>
      <c r="O50" s="541"/>
    </row>
    <row r="51" spans="1:15" ht="18" customHeight="1" thickBot="1">
      <c r="A51" s="568">
        <v>10</v>
      </c>
      <c r="B51" s="1177" t="s">
        <v>565</v>
      </c>
      <c r="C51" s="1178"/>
      <c r="D51" s="569"/>
      <c r="E51" s="586">
        <v>101478.25355</v>
      </c>
      <c r="F51" s="586">
        <f>79857792.25/1000</f>
        <v>79857.79225</v>
      </c>
      <c r="G51" s="586">
        <v>97787.51128</v>
      </c>
      <c r="H51" s="586">
        <v>81193.16526</v>
      </c>
      <c r="I51" s="586">
        <v>87545.92537</v>
      </c>
      <c r="J51" s="586">
        <v>76118.4885799998</v>
      </c>
      <c r="K51" s="586">
        <v>112318.84725</v>
      </c>
      <c r="L51" s="586">
        <v>109676.40084</v>
      </c>
      <c r="M51" s="587">
        <f t="shared" si="12"/>
        <v>745976.3843799998</v>
      </c>
      <c r="O51" s="541"/>
    </row>
    <row r="53" spans="5:13" ht="12.75">
      <c r="E53" s="74"/>
      <c r="F53" s="74"/>
      <c r="G53" s="74"/>
      <c r="H53" s="74"/>
      <c r="I53" s="74"/>
      <c r="J53" s="1102" t="s">
        <v>443</v>
      </c>
      <c r="K53" s="1102"/>
      <c r="L53" s="1102"/>
      <c r="M53" s="535"/>
    </row>
    <row r="54" spans="4:12" ht="12.75">
      <c r="D54" s="30"/>
      <c r="E54" s="541"/>
      <c r="F54" s="541"/>
      <c r="G54" s="541"/>
      <c r="H54" s="541"/>
      <c r="I54" s="541"/>
      <c r="J54" s="541"/>
      <c r="K54" s="541"/>
      <c r="L54" s="541"/>
    </row>
    <row r="55" spans="5:12" ht="12.75">
      <c r="E55" s="74"/>
      <c r="F55" s="74"/>
      <c r="G55" s="74"/>
      <c r="H55" s="74"/>
      <c r="I55" s="74"/>
      <c r="J55" s="74"/>
      <c r="K55" s="74"/>
      <c r="L55" s="74"/>
    </row>
    <row r="57" ht="12.75">
      <c r="D57" s="589"/>
    </row>
    <row r="58" ht="12.75">
      <c r="D58" s="589"/>
    </row>
    <row r="59" ht="12.75">
      <c r="D59" s="589"/>
    </row>
    <row r="60" ht="12.75">
      <c r="D60" s="589"/>
    </row>
  </sheetData>
  <sheetProtection/>
  <mergeCells count="29">
    <mergeCell ref="B36:C36"/>
    <mergeCell ref="B2:C2"/>
    <mergeCell ref="B3:C3"/>
    <mergeCell ref="B9:C9"/>
    <mergeCell ref="B12:C12"/>
    <mergeCell ref="B31:C31"/>
    <mergeCell ref="B13:C13"/>
    <mergeCell ref="B17:C17"/>
    <mergeCell ref="B21:C21"/>
    <mergeCell ref="B22:C22"/>
    <mergeCell ref="B26:C26"/>
    <mergeCell ref="B6:C6"/>
    <mergeCell ref="B23:C23"/>
    <mergeCell ref="J53:L53"/>
    <mergeCell ref="A1:D1"/>
    <mergeCell ref="B49:C49"/>
    <mergeCell ref="B50:C50"/>
    <mergeCell ref="B51:C51"/>
    <mergeCell ref="B44:C44"/>
    <mergeCell ref="B45:C45"/>
    <mergeCell ref="B46:C46"/>
    <mergeCell ref="B47:C47"/>
    <mergeCell ref="B48:C48"/>
    <mergeCell ref="B40:C40"/>
    <mergeCell ref="B42:C42"/>
    <mergeCell ref="B43:C43"/>
    <mergeCell ref="B27:C27"/>
    <mergeCell ref="B28:C28"/>
    <mergeCell ref="B32:C32"/>
  </mergeCells>
  <printOptions/>
  <pageMargins left="0.25" right="0.25" top="0.75" bottom="0.75" header="0.3" footer="0.3"/>
  <pageSetup orientation="portrait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54"/>
  <sheetViews>
    <sheetView zoomScale="110" zoomScaleNormal="110" zoomScalePageLayoutView="0" workbookViewId="0" topLeftCell="A1">
      <selection activeCell="P53" sqref="P53"/>
    </sheetView>
  </sheetViews>
  <sheetFormatPr defaultColWidth="9.140625" defaultRowHeight="15"/>
  <cols>
    <col min="1" max="1" width="47.28125" style="203" bestFit="1" customWidth="1"/>
    <col min="2" max="2" width="11.28125" style="203" bestFit="1" customWidth="1"/>
    <col min="3" max="3" width="33.00390625" style="203" bestFit="1" customWidth="1"/>
    <col min="4" max="4" width="11.421875" style="532" bestFit="1" customWidth="1"/>
    <col min="5" max="5" width="8.28125" style="203" bestFit="1" customWidth="1"/>
    <col min="6" max="6" width="9.8515625" style="203" bestFit="1" customWidth="1"/>
    <col min="7" max="9" width="7.7109375" style="203" bestFit="1" customWidth="1"/>
    <col min="10" max="10" width="10.28125" style="203" bestFit="1" customWidth="1"/>
    <col min="11" max="11" width="8.28125" style="203" bestFit="1" customWidth="1"/>
    <col min="12" max="12" width="7.57421875" style="203" bestFit="1" customWidth="1"/>
    <col min="13" max="13" width="11.28125" style="203" bestFit="1" customWidth="1"/>
    <col min="14" max="16384" width="9.140625" style="203" customWidth="1"/>
  </cols>
  <sheetData>
    <row r="1" spans="1:13" ht="30" customHeight="1">
      <c r="A1" s="1238" t="s">
        <v>719</v>
      </c>
      <c r="B1" s="1239"/>
      <c r="C1" s="1239"/>
      <c r="D1" s="1239"/>
      <c r="E1" s="1239"/>
      <c r="F1" s="1239"/>
      <c r="G1" s="1239"/>
      <c r="H1" s="1239"/>
      <c r="I1" s="1239"/>
      <c r="J1" s="1239"/>
      <c r="K1" s="1239"/>
      <c r="L1" s="1239"/>
      <c r="M1" s="1240"/>
    </row>
    <row r="2" spans="1:13" ht="13.5" thickBot="1">
      <c r="A2" s="1047" t="s">
        <v>720</v>
      </c>
      <c r="B2" s="1043" t="s">
        <v>209</v>
      </c>
      <c r="C2" s="1043" t="s">
        <v>721</v>
      </c>
      <c r="D2" s="1044" t="s">
        <v>722</v>
      </c>
      <c r="E2" s="1045" t="s">
        <v>723</v>
      </c>
      <c r="F2" s="1045" t="s">
        <v>724</v>
      </c>
      <c r="G2" s="1045" t="s">
        <v>725</v>
      </c>
      <c r="H2" s="1045" t="s">
        <v>726</v>
      </c>
      <c r="I2" s="1045" t="s">
        <v>727</v>
      </c>
      <c r="J2" s="1045" t="s">
        <v>728</v>
      </c>
      <c r="K2" s="1045" t="s">
        <v>729</v>
      </c>
      <c r="L2" s="1045" t="s">
        <v>730</v>
      </c>
      <c r="M2" s="1048">
        <v>2017</v>
      </c>
    </row>
    <row r="3" spans="1:13" ht="12" customHeight="1">
      <c r="A3" s="1049" t="s">
        <v>578</v>
      </c>
      <c r="B3" s="493">
        <v>500</v>
      </c>
      <c r="C3" s="1219" t="s">
        <v>84</v>
      </c>
      <c r="D3" s="494" t="s">
        <v>210</v>
      </c>
      <c r="E3" s="1026">
        <v>182915</v>
      </c>
      <c r="F3" s="1026">
        <v>69205</v>
      </c>
      <c r="G3" s="1026">
        <v>85127</v>
      </c>
      <c r="H3" s="1026">
        <v>119101</v>
      </c>
      <c r="I3" s="495">
        <v>60155.6009256</v>
      </c>
      <c r="J3" s="495">
        <v>151376.3611065</v>
      </c>
      <c r="K3" s="495">
        <v>46679.77597101</v>
      </c>
      <c r="L3" s="495">
        <v>40094.467702</v>
      </c>
      <c r="M3" s="845">
        <f>SUM(E3:L3)</f>
        <v>754654.20570511</v>
      </c>
    </row>
    <row r="4" spans="1:13" ht="12" customHeight="1">
      <c r="A4" s="1049" t="s">
        <v>579</v>
      </c>
      <c r="B4" s="493">
        <v>600</v>
      </c>
      <c r="C4" s="1219"/>
      <c r="D4" s="494" t="s">
        <v>210</v>
      </c>
      <c r="E4" s="1026">
        <v>198777</v>
      </c>
      <c r="F4" s="1026">
        <v>146029</v>
      </c>
      <c r="G4" s="1026">
        <v>141547</v>
      </c>
      <c r="H4" s="1026">
        <v>161869</v>
      </c>
      <c r="I4" s="496">
        <v>94174.7183522</v>
      </c>
      <c r="J4" s="496">
        <v>168615.2594408</v>
      </c>
      <c r="K4" s="496">
        <v>73258.29382456</v>
      </c>
      <c r="L4" s="496">
        <v>40195.925904</v>
      </c>
      <c r="M4" s="845">
        <f>SUM(E4:L4)</f>
        <v>1024466.1975215599</v>
      </c>
    </row>
    <row r="5" spans="1:13" ht="12" customHeight="1">
      <c r="A5" s="1049" t="s">
        <v>580</v>
      </c>
      <c r="B5" s="497">
        <v>250</v>
      </c>
      <c r="C5" s="1219"/>
      <c r="D5" s="494" t="s">
        <v>210</v>
      </c>
      <c r="E5" s="1026">
        <v>96292</v>
      </c>
      <c r="F5" s="1026">
        <v>76990</v>
      </c>
      <c r="G5" s="1026">
        <v>71419</v>
      </c>
      <c r="H5" s="1026">
        <v>82564</v>
      </c>
      <c r="I5" s="498">
        <v>45693.311393</v>
      </c>
      <c r="J5" s="498">
        <v>79232.9371392</v>
      </c>
      <c r="K5" s="498">
        <v>31970.38290358</v>
      </c>
      <c r="L5" s="498">
        <v>16804.68942</v>
      </c>
      <c r="M5" s="845">
        <f>SUM(E5:L5)</f>
        <v>500966.32085578</v>
      </c>
    </row>
    <row r="6" spans="1:13" ht="12" customHeight="1">
      <c r="A6" s="1050" t="s">
        <v>581</v>
      </c>
      <c r="B6" s="1024">
        <v>97</v>
      </c>
      <c r="C6" s="1021" t="s">
        <v>84</v>
      </c>
      <c r="D6" s="494" t="s">
        <v>210</v>
      </c>
      <c r="E6" s="6">
        <v>-195</v>
      </c>
      <c r="F6" s="6">
        <v>-157</v>
      </c>
      <c r="G6" s="6">
        <v>-171</v>
      </c>
      <c r="H6" s="6">
        <v>-149</v>
      </c>
      <c r="I6" s="6">
        <v>-161</v>
      </c>
      <c r="J6" s="6">
        <v>-147</v>
      </c>
      <c r="K6" s="6">
        <v>-154</v>
      </c>
      <c r="L6" s="6">
        <v>-153</v>
      </c>
      <c r="M6" s="845"/>
    </row>
    <row r="7" spans="1:13" ht="12" customHeight="1">
      <c r="A7" s="1050" t="s">
        <v>582</v>
      </c>
      <c r="B7" s="1025">
        <v>25.2</v>
      </c>
      <c r="C7" s="1219" t="s">
        <v>85</v>
      </c>
      <c r="D7" s="494" t="s">
        <v>122</v>
      </c>
      <c r="E7" s="1241">
        <v>21378</v>
      </c>
      <c r="F7" s="1241">
        <v>28017</v>
      </c>
      <c r="G7" s="1241">
        <v>43116</v>
      </c>
      <c r="H7" s="1242">
        <v>38597</v>
      </c>
      <c r="I7" s="1243">
        <v>25990.54503556</v>
      </c>
      <c r="J7" s="1243">
        <v>18026.413696009997</v>
      </c>
      <c r="K7" s="1244">
        <v>12908.06873914</v>
      </c>
      <c r="L7" s="1244">
        <v>11366.646784279998</v>
      </c>
      <c r="M7" s="1197">
        <f>SUM(E7:L7)</f>
        <v>199399.67425498998</v>
      </c>
    </row>
    <row r="8" spans="1:13" ht="12" customHeight="1">
      <c r="A8" s="1050" t="s">
        <v>583</v>
      </c>
      <c r="B8" s="499">
        <v>24</v>
      </c>
      <c r="C8" s="1219"/>
      <c r="D8" s="494" t="s">
        <v>122</v>
      </c>
      <c r="E8" s="1241"/>
      <c r="F8" s="1241"/>
      <c r="G8" s="1241"/>
      <c r="H8" s="1242"/>
      <c r="I8" s="1243"/>
      <c r="J8" s="1243"/>
      <c r="K8" s="1244"/>
      <c r="L8" s="1244"/>
      <c r="M8" s="1198"/>
    </row>
    <row r="9" spans="1:13" ht="12" customHeight="1">
      <c r="A9" s="1050" t="s">
        <v>584</v>
      </c>
      <c r="B9" s="499">
        <v>22.5</v>
      </c>
      <c r="C9" s="1219"/>
      <c r="D9" s="494" t="s">
        <v>122</v>
      </c>
      <c r="E9" s="1241"/>
      <c r="F9" s="1241"/>
      <c r="G9" s="1241"/>
      <c r="H9" s="1242"/>
      <c r="I9" s="1243"/>
      <c r="J9" s="1243"/>
      <c r="K9" s="1244"/>
      <c r="L9" s="1244"/>
      <c r="M9" s="1198"/>
    </row>
    <row r="10" spans="1:13" ht="12" customHeight="1">
      <c r="A10" s="1050" t="s">
        <v>585</v>
      </c>
      <c r="B10" s="1023">
        <v>5</v>
      </c>
      <c r="C10" s="1219"/>
      <c r="D10" s="494" t="s">
        <v>122</v>
      </c>
      <c r="E10" s="1241"/>
      <c r="F10" s="1241"/>
      <c r="G10" s="1241"/>
      <c r="H10" s="1242"/>
      <c r="I10" s="1243"/>
      <c r="J10" s="1243"/>
      <c r="K10" s="1244"/>
      <c r="L10" s="1244"/>
      <c r="M10" s="1199"/>
    </row>
    <row r="11" spans="1:13" ht="12.75" customHeight="1">
      <c r="A11" s="1050" t="s">
        <v>586</v>
      </c>
      <c r="B11" s="1024">
        <v>48.2</v>
      </c>
      <c r="C11" s="1021" t="s">
        <v>211</v>
      </c>
      <c r="D11" s="494" t="s">
        <v>122</v>
      </c>
      <c r="E11" s="500">
        <v>24792.372603</v>
      </c>
      <c r="F11" s="500">
        <v>20138.1874963</v>
      </c>
      <c r="G11" s="500">
        <v>18974.0685408</v>
      </c>
      <c r="H11" s="500">
        <v>21155.981607899997</v>
      </c>
      <c r="I11" s="500">
        <v>12010.574658300002</v>
      </c>
      <c r="J11" s="501">
        <v>19583.8516556</v>
      </c>
      <c r="K11" s="502">
        <v>7405.995753799999</v>
      </c>
      <c r="L11" s="503">
        <v>3571.8220361699996</v>
      </c>
      <c r="M11" s="845">
        <f>SUM(E11:L11)</f>
        <v>127632.85435186999</v>
      </c>
    </row>
    <row r="12" spans="1:13" ht="12.75" customHeight="1">
      <c r="A12" s="1050" t="s">
        <v>587</v>
      </c>
      <c r="B12" s="1024">
        <v>27.94</v>
      </c>
      <c r="C12" s="504" t="s">
        <v>87</v>
      </c>
      <c r="D12" s="494" t="s">
        <v>210</v>
      </c>
      <c r="E12" s="31">
        <v>5980.208644</v>
      </c>
      <c r="F12" s="31">
        <v>13495.7040345</v>
      </c>
      <c r="G12" s="31">
        <v>13238.3696421</v>
      </c>
      <c r="H12" s="31">
        <v>8528.677826399999</v>
      </c>
      <c r="I12" s="32">
        <v>5688.176795300002</v>
      </c>
      <c r="J12" s="32">
        <v>2791.447539899999</v>
      </c>
      <c r="K12" s="32">
        <v>1570.6446923000003</v>
      </c>
      <c r="L12" s="32">
        <v>800.1136496200002</v>
      </c>
      <c r="M12" s="1051">
        <f>SUM(E12:L12)</f>
        <v>52093.34282412001</v>
      </c>
    </row>
    <row r="13" spans="1:13" ht="12" customHeight="1">
      <c r="A13" s="1050" t="s">
        <v>588</v>
      </c>
      <c r="B13" s="1024">
        <v>73</v>
      </c>
      <c r="C13" s="1021" t="s">
        <v>212</v>
      </c>
      <c r="D13" s="494" t="s">
        <v>122</v>
      </c>
      <c r="E13" s="31">
        <v>20358.5354231</v>
      </c>
      <c r="F13" s="31">
        <v>6332.0443751</v>
      </c>
      <c r="G13" s="31">
        <v>16690.0164102</v>
      </c>
      <c r="H13" s="31">
        <v>8096.313852500001</v>
      </c>
      <c r="I13" s="31">
        <v>9297.350074400001</v>
      </c>
      <c r="J13" s="31">
        <v>9451.5659753</v>
      </c>
      <c r="K13" s="1018">
        <v>11930.637316000002</v>
      </c>
      <c r="L13" s="1018">
        <v>4158.912783000001</v>
      </c>
      <c r="M13" s="1051">
        <f>SUM(E13:L13)</f>
        <v>86315.37620960001</v>
      </c>
    </row>
    <row r="14" spans="1:13" ht="12" customHeight="1">
      <c r="A14" s="1050" t="s">
        <v>589</v>
      </c>
      <c r="B14" s="1025">
        <v>2.5</v>
      </c>
      <c r="C14" s="1019" t="s">
        <v>569</v>
      </c>
      <c r="D14" s="494" t="s">
        <v>122</v>
      </c>
      <c r="E14" s="505">
        <v>406.83958039999993</v>
      </c>
      <c r="F14" s="505">
        <v>871.5844677999999</v>
      </c>
      <c r="G14" s="505">
        <v>1279.9930558999993</v>
      </c>
      <c r="H14" s="505">
        <v>958.6364287999999</v>
      </c>
      <c r="I14" s="505">
        <v>633.5969485999999</v>
      </c>
      <c r="J14" s="505">
        <v>486.6991664000001</v>
      </c>
      <c r="K14" s="505">
        <v>292.4718918</v>
      </c>
      <c r="L14" s="505">
        <v>185.267104</v>
      </c>
      <c r="M14" s="1052">
        <f>SUM(E14:L14)</f>
        <v>5115.088643699998</v>
      </c>
    </row>
    <row r="15" spans="1:13" ht="12" customHeight="1">
      <c r="A15" s="1050" t="s">
        <v>590</v>
      </c>
      <c r="B15" s="499">
        <v>5.8</v>
      </c>
      <c r="C15" s="1019" t="s">
        <v>213</v>
      </c>
      <c r="D15" s="494" t="s">
        <v>122</v>
      </c>
      <c r="E15" s="1212">
        <v>317.5124413</v>
      </c>
      <c r="F15" s="1212">
        <v>1727.9145965000002</v>
      </c>
      <c r="G15" s="1212">
        <v>2432.7740582999995</v>
      </c>
      <c r="H15" s="1212">
        <v>1634.1597680000002</v>
      </c>
      <c r="I15" s="1212">
        <v>948.1777017999999</v>
      </c>
      <c r="J15" s="1212">
        <v>197.2057849</v>
      </c>
      <c r="K15" s="1212">
        <v>-13.5773658</v>
      </c>
      <c r="L15" s="1212">
        <v>-12.477419999999999</v>
      </c>
      <c r="M15" s="1195">
        <f>SUM(E15:L15)</f>
        <v>7231.689565000001</v>
      </c>
    </row>
    <row r="16" spans="1:13" ht="12" customHeight="1">
      <c r="A16" s="1050" t="s">
        <v>591</v>
      </c>
      <c r="B16" s="499">
        <v>2.5</v>
      </c>
      <c r="C16" s="1019" t="s">
        <v>214</v>
      </c>
      <c r="D16" s="494" t="s">
        <v>122</v>
      </c>
      <c r="E16" s="1214"/>
      <c r="F16" s="1214"/>
      <c r="G16" s="1214"/>
      <c r="H16" s="1214"/>
      <c r="I16" s="1214"/>
      <c r="J16" s="1214"/>
      <c r="K16" s="1214"/>
      <c r="L16" s="1214"/>
      <c r="M16" s="1196"/>
    </row>
    <row r="17" spans="1:13" ht="12" customHeight="1">
      <c r="A17" s="1050" t="s">
        <v>592</v>
      </c>
      <c r="B17" s="499">
        <v>0.921</v>
      </c>
      <c r="C17" s="1211" t="s">
        <v>215</v>
      </c>
      <c r="D17" s="494" t="s">
        <v>122</v>
      </c>
      <c r="E17" s="505">
        <v>85.7396343</v>
      </c>
      <c r="F17" s="505">
        <v>3.080985699999996</v>
      </c>
      <c r="G17" s="505">
        <v>430.9224188</v>
      </c>
      <c r="H17" s="505">
        <v>1126.6140695000001</v>
      </c>
      <c r="I17" s="505">
        <v>382.1468076999999</v>
      </c>
      <c r="J17" s="505">
        <v>-14.037347200000001</v>
      </c>
      <c r="K17" s="505">
        <v>505.99075300000004</v>
      </c>
      <c r="L17" s="505">
        <v>240.72347100000005</v>
      </c>
      <c r="M17" s="1052">
        <f>SUM(E17:L17)</f>
        <v>2761.1807928000003</v>
      </c>
    </row>
    <row r="18" spans="1:13" ht="12" customHeight="1">
      <c r="A18" s="1050" t="s">
        <v>593</v>
      </c>
      <c r="B18" s="499">
        <v>4.18</v>
      </c>
      <c r="C18" s="1211"/>
      <c r="D18" s="494" t="s">
        <v>122</v>
      </c>
      <c r="E18" s="505">
        <v>3683.5984973999994</v>
      </c>
      <c r="F18" s="505">
        <v>7142.6150311</v>
      </c>
      <c r="G18" s="505">
        <v>9566.066131600002</v>
      </c>
      <c r="H18" s="505">
        <v>7174.0371663</v>
      </c>
      <c r="I18" s="505">
        <v>5945.572248400001</v>
      </c>
      <c r="J18" s="505">
        <v>3597.099902900001</v>
      </c>
      <c r="K18" s="505">
        <v>1901.5169262999998</v>
      </c>
      <c r="L18" s="505">
        <v>1465.0286779999997</v>
      </c>
      <c r="M18" s="1052">
        <f>SUM(E18:L18)</f>
        <v>40475.53458200001</v>
      </c>
    </row>
    <row r="19" spans="1:13" ht="12" customHeight="1">
      <c r="A19" s="1050" t="s">
        <v>594</v>
      </c>
      <c r="B19" s="499">
        <v>13.8</v>
      </c>
      <c r="C19" s="1019" t="s">
        <v>216</v>
      </c>
      <c r="D19" s="494" t="s">
        <v>122</v>
      </c>
      <c r="E19" s="505">
        <v>1167.1634655999997</v>
      </c>
      <c r="F19" s="505">
        <v>3385.1076030000004</v>
      </c>
      <c r="G19" s="505">
        <v>4791.2535615</v>
      </c>
      <c r="H19" s="505">
        <v>3967.3947442999997</v>
      </c>
      <c r="I19" s="505">
        <v>3504.8894725999994</v>
      </c>
      <c r="J19" s="505">
        <v>2088.0188145</v>
      </c>
      <c r="K19" s="505">
        <v>803.5930278000002</v>
      </c>
      <c r="L19" s="505">
        <v>471.0279795799999</v>
      </c>
      <c r="M19" s="1052">
        <f>SUM(E19:L19)</f>
        <v>20178.448668880003</v>
      </c>
    </row>
    <row r="20" spans="1:13" ht="12" customHeight="1">
      <c r="A20" s="1050" t="s">
        <v>595</v>
      </c>
      <c r="B20" s="1235">
        <v>19.3</v>
      </c>
      <c r="C20" s="1211" t="s">
        <v>217</v>
      </c>
      <c r="D20" s="1232" t="s">
        <v>122</v>
      </c>
      <c r="E20" s="1202">
        <v>6268.056561899999</v>
      </c>
      <c r="F20" s="1202">
        <v>12354.6302345</v>
      </c>
      <c r="G20" s="1202">
        <v>18484.4647296</v>
      </c>
      <c r="H20" s="1202">
        <v>18244.0634028</v>
      </c>
      <c r="I20" s="1202">
        <v>19208.581699199996</v>
      </c>
      <c r="J20" s="1202">
        <v>12230.336647799995</v>
      </c>
      <c r="K20" s="1202">
        <v>2855.1480134000003</v>
      </c>
      <c r="L20" s="1202">
        <v>278.91922711</v>
      </c>
      <c r="M20" s="1197">
        <v>89924.20051631</v>
      </c>
    </row>
    <row r="21" spans="1:13" ht="12" customHeight="1">
      <c r="A21" s="1050" t="s">
        <v>596</v>
      </c>
      <c r="B21" s="1236"/>
      <c r="C21" s="1211"/>
      <c r="D21" s="1233"/>
      <c r="E21" s="1203"/>
      <c r="F21" s="1203"/>
      <c r="G21" s="1203"/>
      <c r="H21" s="1203"/>
      <c r="I21" s="1203"/>
      <c r="J21" s="1203"/>
      <c r="K21" s="1203"/>
      <c r="L21" s="1203"/>
      <c r="M21" s="1198"/>
    </row>
    <row r="22" spans="1:13" ht="12" customHeight="1">
      <c r="A22" s="1050" t="s">
        <v>597</v>
      </c>
      <c r="B22" s="1236"/>
      <c r="C22" s="1211" t="s">
        <v>218</v>
      </c>
      <c r="D22" s="1233"/>
      <c r="E22" s="1203"/>
      <c r="F22" s="1203"/>
      <c r="G22" s="1203"/>
      <c r="H22" s="1203"/>
      <c r="I22" s="1203"/>
      <c r="J22" s="1203"/>
      <c r="K22" s="1203"/>
      <c r="L22" s="1203"/>
      <c r="M22" s="1198"/>
    </row>
    <row r="23" spans="1:13" ht="12" customHeight="1">
      <c r="A23" s="1050" t="s">
        <v>598</v>
      </c>
      <c r="B23" s="1236"/>
      <c r="C23" s="1211"/>
      <c r="D23" s="1233"/>
      <c r="E23" s="1203"/>
      <c r="F23" s="1203"/>
      <c r="G23" s="1203"/>
      <c r="H23" s="1203"/>
      <c r="I23" s="1203"/>
      <c r="J23" s="1203"/>
      <c r="K23" s="1203"/>
      <c r="L23" s="1203"/>
      <c r="M23" s="1198"/>
    </row>
    <row r="24" spans="1:13" ht="12" customHeight="1">
      <c r="A24" s="1050" t="s">
        <v>599</v>
      </c>
      <c r="B24" s="1237"/>
      <c r="C24" s="1019" t="s">
        <v>219</v>
      </c>
      <c r="D24" s="1234"/>
      <c r="E24" s="1204"/>
      <c r="F24" s="1204"/>
      <c r="G24" s="1204"/>
      <c r="H24" s="1204"/>
      <c r="I24" s="1204"/>
      <c r="J24" s="1204"/>
      <c r="K24" s="1204"/>
      <c r="L24" s="1204"/>
      <c r="M24" s="1199"/>
    </row>
    <row r="25" spans="1:13" ht="12" customHeight="1">
      <c r="A25" s="1050" t="s">
        <v>600</v>
      </c>
      <c r="B25" s="1023">
        <v>2.6</v>
      </c>
      <c r="C25" s="1229" t="s">
        <v>220</v>
      </c>
      <c r="D25" s="1232" t="s">
        <v>122</v>
      </c>
      <c r="E25" s="1226">
        <v>147.0651148</v>
      </c>
      <c r="F25" s="1226">
        <v>1455.6954821000002</v>
      </c>
      <c r="G25" s="1226">
        <v>2046.5115940000003</v>
      </c>
      <c r="H25" s="1226">
        <v>2609.5019697000007</v>
      </c>
      <c r="I25" s="1226">
        <v>2505.9255006999997</v>
      </c>
      <c r="J25" s="1226">
        <v>720.1033544999998</v>
      </c>
      <c r="K25" s="1226">
        <v>-9.010646800000002</v>
      </c>
      <c r="L25" s="1226">
        <v>-11.721971000000002</v>
      </c>
      <c r="M25" s="1223">
        <f>SUM(E25:L25)</f>
        <v>9464.070398</v>
      </c>
    </row>
    <row r="26" spans="1:13" ht="12" customHeight="1">
      <c r="A26" s="1050" t="s">
        <v>601</v>
      </c>
      <c r="B26" s="1024">
        <v>1.3</v>
      </c>
      <c r="C26" s="1230"/>
      <c r="D26" s="1233"/>
      <c r="E26" s="1227"/>
      <c r="F26" s="1227"/>
      <c r="G26" s="1227"/>
      <c r="H26" s="1227"/>
      <c r="I26" s="1227"/>
      <c r="J26" s="1227"/>
      <c r="K26" s="1227"/>
      <c r="L26" s="1227"/>
      <c r="M26" s="1224"/>
    </row>
    <row r="27" spans="1:13" ht="12" customHeight="1">
      <c r="A27" s="1050" t="s">
        <v>602</v>
      </c>
      <c r="B27" s="1024">
        <v>2.3</v>
      </c>
      <c r="C27" s="1230"/>
      <c r="D27" s="1233"/>
      <c r="E27" s="1227"/>
      <c r="F27" s="1227"/>
      <c r="G27" s="1227"/>
      <c r="H27" s="1227"/>
      <c r="I27" s="1227"/>
      <c r="J27" s="1227"/>
      <c r="K27" s="1227"/>
      <c r="L27" s="1227"/>
      <c r="M27" s="1224"/>
    </row>
    <row r="28" spans="1:13" ht="12" customHeight="1">
      <c r="A28" s="1050" t="s">
        <v>603</v>
      </c>
      <c r="B28" s="1024">
        <v>2.8</v>
      </c>
      <c r="C28" s="1230"/>
      <c r="D28" s="1233"/>
      <c r="E28" s="1227"/>
      <c r="F28" s="1227"/>
      <c r="G28" s="1227"/>
      <c r="H28" s="1227"/>
      <c r="I28" s="1227"/>
      <c r="J28" s="1227"/>
      <c r="K28" s="1227"/>
      <c r="L28" s="1227"/>
      <c r="M28" s="1224"/>
    </row>
    <row r="29" spans="1:13" ht="12" customHeight="1">
      <c r="A29" s="1050" t="s">
        <v>604</v>
      </c>
      <c r="B29" s="1025">
        <v>3.6</v>
      </c>
      <c r="C29" s="1231"/>
      <c r="D29" s="1234"/>
      <c r="E29" s="1228"/>
      <c r="F29" s="1228"/>
      <c r="G29" s="1228"/>
      <c r="H29" s="1228"/>
      <c r="I29" s="1228"/>
      <c r="J29" s="1228"/>
      <c r="K29" s="1228"/>
      <c r="L29" s="1228"/>
      <c r="M29" s="1225"/>
    </row>
    <row r="30" spans="1:13" ht="12" customHeight="1">
      <c r="A30" s="1050" t="s">
        <v>605</v>
      </c>
      <c r="B30" s="499">
        <v>8.1</v>
      </c>
      <c r="C30" s="1019" t="s">
        <v>222</v>
      </c>
      <c r="D30" s="494" t="s">
        <v>122</v>
      </c>
      <c r="E30" s="505">
        <v>1209.8857359999997</v>
      </c>
      <c r="F30" s="505">
        <v>2776.9122134999993</v>
      </c>
      <c r="G30" s="505">
        <v>4146.623690900001</v>
      </c>
      <c r="H30" s="505">
        <v>3794.473302599999</v>
      </c>
      <c r="I30" s="505">
        <v>3125.1009473999993</v>
      </c>
      <c r="J30" s="505">
        <v>796.7297894000001</v>
      </c>
      <c r="K30" s="505">
        <v>-9.812333000000002</v>
      </c>
      <c r="L30" s="505">
        <v>-8.71746</v>
      </c>
      <c r="M30" s="1052">
        <f>SUM(E30:L30)</f>
        <v>15831.195886799998</v>
      </c>
    </row>
    <row r="31" spans="1:13" ht="12" customHeight="1">
      <c r="A31" s="1050" t="s">
        <v>606</v>
      </c>
      <c r="B31" s="499">
        <v>8.85</v>
      </c>
      <c r="C31" s="1019" t="s">
        <v>221</v>
      </c>
      <c r="D31" s="494" t="s">
        <v>122</v>
      </c>
      <c r="E31" s="505">
        <v>1679.5263119000003</v>
      </c>
      <c r="F31" s="505">
        <v>3060.1344773000005</v>
      </c>
      <c r="G31" s="505">
        <v>3631.489462199999</v>
      </c>
      <c r="H31" s="505">
        <v>2506.2760580999993</v>
      </c>
      <c r="I31" s="505">
        <v>1987.4933318999997</v>
      </c>
      <c r="J31" s="505">
        <v>815.0088261000002</v>
      </c>
      <c r="K31" s="505">
        <v>286.5505028</v>
      </c>
      <c r="L31" s="505">
        <v>233.51230492999994</v>
      </c>
      <c r="M31" s="1052">
        <f>SUM(E31:L31)</f>
        <v>14199.991275229999</v>
      </c>
    </row>
    <row r="32" spans="1:13" ht="12" customHeight="1">
      <c r="A32" s="1050" t="s">
        <v>607</v>
      </c>
      <c r="B32" s="499">
        <v>13.62</v>
      </c>
      <c r="C32" s="1019" t="s">
        <v>223</v>
      </c>
      <c r="D32" s="494" t="s">
        <v>122</v>
      </c>
      <c r="E32" s="505">
        <v>1314.8703930000001</v>
      </c>
      <c r="F32" s="505">
        <v>1212.1435251000003</v>
      </c>
      <c r="G32" s="505">
        <v>4935.9917165</v>
      </c>
      <c r="H32" s="505">
        <v>6518.5955832</v>
      </c>
      <c r="I32" s="505">
        <v>6868.575651000001</v>
      </c>
      <c r="J32" s="505">
        <v>3317.0568739999994</v>
      </c>
      <c r="K32" s="505">
        <v>758.7019990000003</v>
      </c>
      <c r="L32" s="505">
        <v>125.35437399999998</v>
      </c>
      <c r="M32" s="1052">
        <f>SUM(E32:L32)</f>
        <v>25051.2901158</v>
      </c>
    </row>
    <row r="33" spans="1:13" ht="12" customHeight="1">
      <c r="A33" s="1050" t="s">
        <v>608</v>
      </c>
      <c r="B33" s="499">
        <v>8.94</v>
      </c>
      <c r="C33" s="1019" t="s">
        <v>224</v>
      </c>
      <c r="D33" s="494" t="s">
        <v>122</v>
      </c>
      <c r="E33" s="505">
        <v>700.6129507000003</v>
      </c>
      <c r="F33" s="505">
        <v>2207.1697416999996</v>
      </c>
      <c r="G33" s="505">
        <v>2840.9049900999985</v>
      </c>
      <c r="H33" s="505">
        <v>827.4457778999999</v>
      </c>
      <c r="I33" s="505">
        <v>1046.4213341</v>
      </c>
      <c r="J33" s="505">
        <v>464.5998689999999</v>
      </c>
      <c r="K33" s="505">
        <v>92.97078390000001</v>
      </c>
      <c r="L33" s="505">
        <v>11.388645409999993</v>
      </c>
      <c r="M33" s="1052">
        <f>SUM(E33:L33)</f>
        <v>8191.514092809998</v>
      </c>
    </row>
    <row r="34" spans="1:13" ht="12" customHeight="1">
      <c r="A34" s="1050" t="s">
        <v>609</v>
      </c>
      <c r="B34" s="1208">
        <v>6.54</v>
      </c>
      <c r="C34" s="1211" t="s">
        <v>225</v>
      </c>
      <c r="D34" s="494" t="s">
        <v>122</v>
      </c>
      <c r="E34" s="1212">
        <v>1109.1174265999998</v>
      </c>
      <c r="F34" s="1212">
        <v>5106.0016397</v>
      </c>
      <c r="G34" s="1212">
        <v>5726.823252099999</v>
      </c>
      <c r="H34" s="1212">
        <v>4246.3378054</v>
      </c>
      <c r="I34" s="1212">
        <v>2572.124279600001</v>
      </c>
      <c r="J34" s="1212">
        <v>412.5087062</v>
      </c>
      <c r="K34" s="1212">
        <v>28.423662600000007</v>
      </c>
      <c r="L34" s="1212">
        <v>-22.534426139999997</v>
      </c>
      <c r="M34" s="1195">
        <f>SUM(E34:L34)</f>
        <v>19178.802346059998</v>
      </c>
    </row>
    <row r="35" spans="1:13" ht="12" customHeight="1">
      <c r="A35" s="1050" t="s">
        <v>610</v>
      </c>
      <c r="B35" s="1209"/>
      <c r="C35" s="1211"/>
      <c r="D35" s="494" t="s">
        <v>122</v>
      </c>
      <c r="E35" s="1213"/>
      <c r="F35" s="1213"/>
      <c r="G35" s="1213"/>
      <c r="H35" s="1213"/>
      <c r="I35" s="1213"/>
      <c r="J35" s="1213"/>
      <c r="K35" s="1213"/>
      <c r="L35" s="1213"/>
      <c r="M35" s="1200"/>
    </row>
    <row r="36" spans="1:13" ht="12" customHeight="1">
      <c r="A36" s="1050" t="s">
        <v>611</v>
      </c>
      <c r="B36" s="1210"/>
      <c r="C36" s="1211"/>
      <c r="D36" s="494" t="s">
        <v>122</v>
      </c>
      <c r="E36" s="1214"/>
      <c r="F36" s="1214"/>
      <c r="G36" s="1214"/>
      <c r="H36" s="1214"/>
      <c r="I36" s="1214"/>
      <c r="J36" s="1214"/>
      <c r="K36" s="1214"/>
      <c r="L36" s="1214"/>
      <c r="M36" s="1196"/>
    </row>
    <row r="37" spans="1:13" ht="12" customHeight="1">
      <c r="A37" s="1050" t="s">
        <v>612</v>
      </c>
      <c r="B37" s="499">
        <v>5.455</v>
      </c>
      <c r="C37" s="1019" t="s">
        <v>226</v>
      </c>
      <c r="D37" s="494" t="s">
        <v>122</v>
      </c>
      <c r="E37" s="505">
        <v>539.9020465</v>
      </c>
      <c r="F37" s="505">
        <v>1843.3941989999994</v>
      </c>
      <c r="G37" s="505">
        <v>2020.8174997</v>
      </c>
      <c r="H37" s="505">
        <v>1399.5714397000002</v>
      </c>
      <c r="I37" s="505">
        <v>884.2831159</v>
      </c>
      <c r="J37" s="505">
        <v>282.37750099999994</v>
      </c>
      <c r="K37" s="505">
        <v>140.9974939</v>
      </c>
      <c r="L37" s="505">
        <v>108.84576700000001</v>
      </c>
      <c r="M37" s="1052">
        <f>SUM(E37:L37)</f>
        <v>7220.189062699999</v>
      </c>
    </row>
    <row r="38" spans="1:13" ht="12" customHeight="1" thickBot="1">
      <c r="A38" s="1053" t="s">
        <v>613</v>
      </c>
      <c r="B38" s="507">
        <v>14.97</v>
      </c>
      <c r="C38" s="506" t="s">
        <v>227</v>
      </c>
      <c r="D38" s="508" t="s">
        <v>122</v>
      </c>
      <c r="E38" s="505">
        <v>670.8255252999999</v>
      </c>
      <c r="F38" s="505">
        <v>4156.000545999999</v>
      </c>
      <c r="G38" s="505">
        <v>4436.5824388</v>
      </c>
      <c r="H38" s="505">
        <v>3351.4185659000004</v>
      </c>
      <c r="I38" s="505">
        <v>1910.1392135</v>
      </c>
      <c r="J38" s="505">
        <v>247.76633399999997</v>
      </c>
      <c r="K38" s="505">
        <v>-6.718934999999998</v>
      </c>
      <c r="L38" s="505">
        <v>-8.055621</v>
      </c>
      <c r="M38" s="1052">
        <f>SUM(E38:L38)</f>
        <v>14757.958067499998</v>
      </c>
    </row>
    <row r="39" spans="1:13" ht="12" customHeight="1" thickBot="1">
      <c r="A39" s="1054"/>
      <c r="B39" s="510"/>
      <c r="C39" s="509"/>
      <c r="D39" s="511"/>
      <c r="E39" s="512"/>
      <c r="F39" s="512"/>
      <c r="G39" s="512"/>
      <c r="H39" s="512"/>
      <c r="I39" s="512"/>
      <c r="J39" s="512"/>
      <c r="K39" s="512"/>
      <c r="L39" s="512"/>
      <c r="M39" s="513">
        <f>SUM(M3:M38)</f>
        <v>3025109.1257366207</v>
      </c>
    </row>
    <row r="40" spans="1:13" ht="12" customHeight="1">
      <c r="A40" s="1205" t="s">
        <v>731</v>
      </c>
      <c r="B40" s="1206"/>
      <c r="C40" s="1206"/>
      <c r="D40" s="1206"/>
      <c r="E40" s="1206"/>
      <c r="F40" s="1206"/>
      <c r="G40" s="1206"/>
      <c r="H40" s="1206"/>
      <c r="I40" s="1206"/>
      <c r="J40" s="1206"/>
      <c r="K40" s="1206"/>
      <c r="L40" s="1206"/>
      <c r="M40" s="1207"/>
    </row>
    <row r="41" spans="1:13" ht="12" customHeight="1">
      <c r="A41" s="1043" t="s">
        <v>720</v>
      </c>
      <c r="B41" s="1043" t="s">
        <v>209</v>
      </c>
      <c r="C41" s="1043" t="s">
        <v>721</v>
      </c>
      <c r="D41" s="1044" t="s">
        <v>722</v>
      </c>
      <c r="E41" s="1045" t="s">
        <v>723</v>
      </c>
      <c r="F41" s="1045" t="s">
        <v>724</v>
      </c>
      <c r="G41" s="1045" t="s">
        <v>725</v>
      </c>
      <c r="H41" s="1045" t="s">
        <v>726</v>
      </c>
      <c r="I41" s="1045" t="s">
        <v>727</v>
      </c>
      <c r="J41" s="1045" t="s">
        <v>728</v>
      </c>
      <c r="K41" s="1045" t="s">
        <v>729</v>
      </c>
      <c r="L41" s="1045" t="s">
        <v>730</v>
      </c>
      <c r="M41" s="1045">
        <v>2017</v>
      </c>
    </row>
    <row r="42" spans="1:13" ht="12.75">
      <c r="A42" s="1050" t="s">
        <v>614</v>
      </c>
      <c r="B42" s="514">
        <v>5</v>
      </c>
      <c r="C42" s="1019" t="s">
        <v>570</v>
      </c>
      <c r="D42" s="515">
        <v>35</v>
      </c>
      <c r="E42" s="35">
        <v>2621.89102</v>
      </c>
      <c r="F42" s="35">
        <v>2896.8919200000023</v>
      </c>
      <c r="G42" s="35">
        <v>3302.61</v>
      </c>
      <c r="H42" s="35">
        <v>3120.17</v>
      </c>
      <c r="I42" s="35">
        <v>3036.600000000001</v>
      </c>
      <c r="J42" s="35">
        <v>2829.8399999999992</v>
      </c>
      <c r="K42" s="35">
        <v>2397.1099999999997</v>
      </c>
      <c r="L42" s="35">
        <v>1936.7599999999993</v>
      </c>
      <c r="M42" s="1051">
        <f aca="true" t="shared" si="0" ref="M42:M73">SUM(E42:L42)</f>
        <v>22141.87294</v>
      </c>
    </row>
    <row r="43" spans="1:13" ht="12.75">
      <c r="A43" s="1050" t="s">
        <v>615</v>
      </c>
      <c r="B43" s="514">
        <v>0.4</v>
      </c>
      <c r="C43" s="1219" t="s">
        <v>228</v>
      </c>
      <c r="D43" s="516" t="s">
        <v>229</v>
      </c>
      <c r="E43" s="35">
        <v>133.748</v>
      </c>
      <c r="F43" s="35">
        <v>219.21679999999998</v>
      </c>
      <c r="G43" s="35">
        <v>263.82111999999967</v>
      </c>
      <c r="H43" s="35">
        <v>264.4128</v>
      </c>
      <c r="I43" s="35">
        <v>278.8423999999999</v>
      </c>
      <c r="J43" s="35">
        <v>255.63695999999996</v>
      </c>
      <c r="K43" s="35">
        <v>132.87488000000013</v>
      </c>
      <c r="L43" s="35">
        <v>61.85887999999919</v>
      </c>
      <c r="M43" s="1051">
        <f t="shared" si="0"/>
        <v>1610.4118399999986</v>
      </c>
    </row>
    <row r="44" spans="1:13" ht="12.75">
      <c r="A44" s="1050" t="s">
        <v>616</v>
      </c>
      <c r="B44" s="514">
        <v>0.2</v>
      </c>
      <c r="C44" s="1219"/>
      <c r="D44" s="516" t="s">
        <v>229</v>
      </c>
      <c r="E44" s="35">
        <v>24.015599999999978</v>
      </c>
      <c r="F44" s="35">
        <v>66.02448000000004</v>
      </c>
      <c r="G44" s="35">
        <v>114.74792000000001</v>
      </c>
      <c r="H44" s="35">
        <v>100.32199999999997</v>
      </c>
      <c r="I44" s="35">
        <v>73.6673599999999</v>
      </c>
      <c r="J44" s="35">
        <v>31.82224000000002</v>
      </c>
      <c r="K44" s="35">
        <v>0</v>
      </c>
      <c r="L44" s="35">
        <v>0</v>
      </c>
      <c r="M44" s="1051">
        <f t="shared" si="0"/>
        <v>410.59959999999995</v>
      </c>
    </row>
    <row r="45" spans="1:13" ht="12.75">
      <c r="A45" s="1050" t="s">
        <v>617</v>
      </c>
      <c r="B45" s="514">
        <v>9.2</v>
      </c>
      <c r="C45" s="1021" t="s">
        <v>230</v>
      </c>
      <c r="D45" s="516" t="s">
        <v>231</v>
      </c>
      <c r="E45" s="35">
        <v>2370.424</v>
      </c>
      <c r="F45" s="35">
        <v>2770.1869999999967</v>
      </c>
      <c r="G45" s="35">
        <v>2822.1200000000003</v>
      </c>
      <c r="H45" s="35">
        <v>2279.48</v>
      </c>
      <c r="I45" s="35">
        <v>2120.5800000000004</v>
      </c>
      <c r="J45" s="35">
        <v>1561.6999999999994</v>
      </c>
      <c r="K45" s="35">
        <v>895.5800000000004</v>
      </c>
      <c r="L45" s="35">
        <v>751.2400000000011</v>
      </c>
      <c r="M45" s="1051">
        <f t="shared" si="0"/>
        <v>15571.310999999998</v>
      </c>
    </row>
    <row r="46" spans="1:13" ht="12.75">
      <c r="A46" s="1050" t="s">
        <v>618</v>
      </c>
      <c r="B46" s="514">
        <v>0.6</v>
      </c>
      <c r="C46" s="1220" t="s">
        <v>232</v>
      </c>
      <c r="D46" s="516" t="s">
        <v>229</v>
      </c>
      <c r="E46" s="35">
        <v>90.5</v>
      </c>
      <c r="F46" s="35">
        <v>126.25</v>
      </c>
      <c r="G46" s="35">
        <v>179</v>
      </c>
      <c r="H46" s="35">
        <v>166.5</v>
      </c>
      <c r="I46" s="35">
        <v>157.00125000000003</v>
      </c>
      <c r="J46" s="35">
        <v>108.96724999999992</v>
      </c>
      <c r="K46" s="35">
        <v>82.34375</v>
      </c>
      <c r="L46" s="35">
        <v>71.70299999999997</v>
      </c>
      <c r="M46" s="1051">
        <f t="shared" si="0"/>
        <v>982.2652499999999</v>
      </c>
    </row>
    <row r="47" spans="1:13" ht="12.75">
      <c r="A47" s="1050" t="s">
        <v>619</v>
      </c>
      <c r="B47" s="514">
        <v>0.395</v>
      </c>
      <c r="C47" s="1221"/>
      <c r="D47" s="516" t="s">
        <v>229</v>
      </c>
      <c r="E47" s="35">
        <v>32</v>
      </c>
      <c r="F47" s="35">
        <v>52</v>
      </c>
      <c r="G47" s="35">
        <v>61</v>
      </c>
      <c r="H47" s="35">
        <v>37.47850000000017</v>
      </c>
      <c r="I47" s="35">
        <v>36.80369999999948</v>
      </c>
      <c r="J47" s="35">
        <v>27.02019999999993</v>
      </c>
      <c r="K47" s="35">
        <v>6.016400000000431</v>
      </c>
      <c r="L47" s="35">
        <v>0</v>
      </c>
      <c r="M47" s="1051">
        <f t="shared" si="0"/>
        <v>252.3188</v>
      </c>
    </row>
    <row r="48" spans="1:13" ht="12.75">
      <c r="A48" s="1050" t="s">
        <v>620</v>
      </c>
      <c r="B48" s="514">
        <v>0.625</v>
      </c>
      <c r="C48" s="1221"/>
      <c r="D48" s="516" t="s">
        <v>233</v>
      </c>
      <c r="E48" s="35">
        <v>97.25</v>
      </c>
      <c r="F48" s="35">
        <v>95</v>
      </c>
      <c r="G48" s="35">
        <v>104.25</v>
      </c>
      <c r="H48" s="35">
        <v>115.76749999999998</v>
      </c>
      <c r="I48" s="35">
        <v>94.50275000000005</v>
      </c>
      <c r="J48" s="35">
        <v>87.43925000000002</v>
      </c>
      <c r="K48" s="35">
        <v>60.99874999999997</v>
      </c>
      <c r="L48" s="35">
        <v>56.27874999999994</v>
      </c>
      <c r="M48" s="1051">
        <f t="shared" si="0"/>
        <v>711.487</v>
      </c>
    </row>
    <row r="49" spans="1:13" ht="12.75">
      <c r="A49" s="1050" t="s">
        <v>621</v>
      </c>
      <c r="B49" s="514">
        <v>4.8</v>
      </c>
      <c r="C49" s="1221"/>
      <c r="D49" s="516" t="s">
        <v>234</v>
      </c>
      <c r="E49" s="35">
        <v>0</v>
      </c>
      <c r="F49" s="35">
        <v>0</v>
      </c>
      <c r="G49" s="35">
        <v>1280</v>
      </c>
      <c r="H49" s="35">
        <v>2285.0624000000025</v>
      </c>
      <c r="I49" s="35">
        <v>1863.4191999999966</v>
      </c>
      <c r="J49" s="35">
        <v>669.8343999999996</v>
      </c>
      <c r="K49" s="35">
        <v>9.245600000002014</v>
      </c>
      <c r="L49" s="35">
        <v>0</v>
      </c>
      <c r="M49" s="1051">
        <f t="shared" si="0"/>
        <v>6107.561600000001</v>
      </c>
    </row>
    <row r="50" spans="1:13" ht="12.75">
      <c r="A50" s="1050" t="s">
        <v>622</v>
      </c>
      <c r="B50" s="514">
        <v>1.2</v>
      </c>
      <c r="C50" s="1221"/>
      <c r="D50" s="516" t="s">
        <v>229</v>
      </c>
      <c r="E50" s="35">
        <v>157.52100000000019</v>
      </c>
      <c r="F50" s="35">
        <v>592.3589999999999</v>
      </c>
      <c r="G50" s="35">
        <v>780.1680000000001</v>
      </c>
      <c r="H50" s="35">
        <v>764.9219999999991</v>
      </c>
      <c r="I50" s="35">
        <v>736.1879999999992</v>
      </c>
      <c r="J50" s="35">
        <v>668.5020000000022</v>
      </c>
      <c r="K50" s="35">
        <v>201.1949999999988</v>
      </c>
      <c r="L50" s="35">
        <v>69.07200000000101</v>
      </c>
      <c r="M50" s="1051">
        <f t="shared" si="0"/>
        <v>3969.9270000000006</v>
      </c>
    </row>
    <row r="51" spans="1:13" ht="12.75">
      <c r="A51" s="1050" t="s">
        <v>623</v>
      </c>
      <c r="B51" s="514">
        <v>1.4</v>
      </c>
      <c r="C51" s="1221"/>
      <c r="D51" s="516" t="s">
        <v>229</v>
      </c>
      <c r="E51" s="35">
        <v>169.679960000001</v>
      </c>
      <c r="F51" s="35">
        <v>491.4498399999989</v>
      </c>
      <c r="G51" s="35">
        <v>554.9800000000014</v>
      </c>
      <c r="H51" s="35">
        <v>611.7619999999988</v>
      </c>
      <c r="I51" s="35">
        <v>607.6220000000012</v>
      </c>
      <c r="J51" s="35">
        <v>524.0578000000005</v>
      </c>
      <c r="K51" s="35">
        <v>241.40499999999884</v>
      </c>
      <c r="L51" s="35">
        <v>79.13475200000073</v>
      </c>
      <c r="M51" s="1051">
        <f t="shared" si="0"/>
        <v>3280.0913520000013</v>
      </c>
    </row>
    <row r="52" spans="1:13" ht="12.75">
      <c r="A52" s="1050" t="s">
        <v>624</v>
      </c>
      <c r="B52" s="514">
        <v>0.64</v>
      </c>
      <c r="C52" s="1221"/>
      <c r="D52" s="516" t="s">
        <v>229</v>
      </c>
      <c r="E52" s="35">
        <v>164</v>
      </c>
      <c r="F52" s="35">
        <v>245</v>
      </c>
      <c r="G52" s="35">
        <v>100.17999999999995</v>
      </c>
      <c r="H52" s="35">
        <v>176.16000000000008</v>
      </c>
      <c r="I52" s="35">
        <v>199.25999999999988</v>
      </c>
      <c r="J52" s="35">
        <v>209.08000000000015</v>
      </c>
      <c r="K52" s="35">
        <v>199.22000000000003</v>
      </c>
      <c r="L52" s="35">
        <v>0</v>
      </c>
      <c r="M52" s="1051">
        <f t="shared" si="0"/>
        <v>1292.9</v>
      </c>
    </row>
    <row r="53" spans="1:13" ht="12.75">
      <c r="A53" s="1050" t="s">
        <v>625</v>
      </c>
      <c r="B53" s="514">
        <v>0.2</v>
      </c>
      <c r="C53" s="1221"/>
      <c r="D53" s="516" t="s">
        <v>229</v>
      </c>
      <c r="E53" s="35">
        <v>43.68</v>
      </c>
      <c r="F53" s="35">
        <v>43.6</v>
      </c>
      <c r="G53" s="35">
        <v>58.88</v>
      </c>
      <c r="H53" s="35">
        <v>62.24</v>
      </c>
      <c r="I53" s="35">
        <v>1.8715200000000187</v>
      </c>
      <c r="J53" s="35">
        <v>117.40928</v>
      </c>
      <c r="K53" s="35">
        <v>46.64839999999997</v>
      </c>
      <c r="L53" s="35">
        <v>21.876560000000026</v>
      </c>
      <c r="M53" s="1051">
        <f t="shared" si="0"/>
        <v>396.20576000000005</v>
      </c>
    </row>
    <row r="54" spans="1:13" ht="12.75">
      <c r="A54" s="1050" t="s">
        <v>626</v>
      </c>
      <c r="B54" s="514">
        <v>0.1</v>
      </c>
      <c r="C54" s="1221"/>
      <c r="D54" s="516" t="s">
        <v>229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1051">
        <f t="shared" si="0"/>
        <v>0</v>
      </c>
    </row>
    <row r="55" spans="1:13" ht="12.75">
      <c r="A55" s="1050" t="s">
        <v>627</v>
      </c>
      <c r="B55" s="514">
        <v>0.83</v>
      </c>
      <c r="C55" s="1221"/>
      <c r="D55" s="516" t="s">
        <v>229</v>
      </c>
      <c r="E55" s="35">
        <v>41</v>
      </c>
      <c r="F55" s="35">
        <v>88.69569999999975</v>
      </c>
      <c r="G55" s="35">
        <v>108</v>
      </c>
      <c r="H55" s="35">
        <v>34</v>
      </c>
      <c r="I55" s="35">
        <v>68.29129999999988</v>
      </c>
      <c r="J55" s="35">
        <v>42.662499999999916</v>
      </c>
      <c r="K55" s="35">
        <v>10.32380000000012</v>
      </c>
      <c r="L55" s="35">
        <v>0</v>
      </c>
      <c r="M55" s="1051">
        <f t="shared" si="0"/>
        <v>392.97329999999965</v>
      </c>
    </row>
    <row r="56" spans="1:13" ht="12.75">
      <c r="A56" s="1050" t="s">
        <v>628</v>
      </c>
      <c r="B56" s="514">
        <v>0.25</v>
      </c>
      <c r="C56" s="1221"/>
      <c r="D56" s="516" t="s">
        <v>229</v>
      </c>
      <c r="E56" s="35">
        <v>27.24</v>
      </c>
      <c r="F56" s="35">
        <v>64.8</v>
      </c>
      <c r="G56" s="35">
        <v>116.16</v>
      </c>
      <c r="H56" s="35">
        <v>66</v>
      </c>
      <c r="I56" s="35">
        <v>49.548179999999995</v>
      </c>
      <c r="J56" s="35">
        <v>27.70378800000006</v>
      </c>
      <c r="K56" s="35">
        <v>0.7535279999999329</v>
      </c>
      <c r="L56" s="35">
        <v>0</v>
      </c>
      <c r="M56" s="1051">
        <f t="shared" si="0"/>
        <v>352.20549600000004</v>
      </c>
    </row>
    <row r="57" spans="1:13" ht="12.75">
      <c r="A57" s="1050" t="s">
        <v>629</v>
      </c>
      <c r="B57" s="514">
        <v>0.7</v>
      </c>
      <c r="C57" s="1221"/>
      <c r="D57" s="516" t="s">
        <v>229</v>
      </c>
      <c r="E57" s="35">
        <v>85</v>
      </c>
      <c r="F57" s="35">
        <v>97</v>
      </c>
      <c r="G57" s="35">
        <v>222</v>
      </c>
      <c r="H57" s="35">
        <v>242</v>
      </c>
      <c r="I57" s="35">
        <v>204.40999999999985</v>
      </c>
      <c r="J57" s="35">
        <v>188.28999999999996</v>
      </c>
      <c r="K57" s="35">
        <v>132.6010000000001</v>
      </c>
      <c r="L57" s="35">
        <v>62.85899999999993</v>
      </c>
      <c r="M57" s="1051">
        <f t="shared" si="0"/>
        <v>1234.1599999999999</v>
      </c>
    </row>
    <row r="58" spans="1:13" ht="12.75">
      <c r="A58" s="1050" t="s">
        <v>630</v>
      </c>
      <c r="B58" s="514">
        <v>1.92</v>
      </c>
      <c r="C58" s="1221"/>
      <c r="D58" s="516" t="s">
        <v>229</v>
      </c>
      <c r="E58" s="35">
        <v>436.7658</v>
      </c>
      <c r="F58" s="35">
        <v>462.2697</v>
      </c>
      <c r="G58" s="35">
        <v>891.0557999999996</v>
      </c>
      <c r="H58" s="35">
        <v>516.7551</v>
      </c>
      <c r="I58" s="35">
        <v>446.80739999999923</v>
      </c>
      <c r="J58" s="35">
        <v>87.83790000000045</v>
      </c>
      <c r="K58" s="35">
        <v>0</v>
      </c>
      <c r="L58" s="35">
        <v>0</v>
      </c>
      <c r="M58" s="1051">
        <f t="shared" si="0"/>
        <v>2841.491699999999</v>
      </c>
    </row>
    <row r="59" spans="1:13" ht="12.75">
      <c r="A59" s="1050" t="s">
        <v>631</v>
      </c>
      <c r="B59" s="514">
        <v>0.2</v>
      </c>
      <c r="C59" s="1221"/>
      <c r="D59" s="516" t="s">
        <v>229</v>
      </c>
      <c r="E59" s="35">
        <v>55.4358</v>
      </c>
      <c r="F59" s="35">
        <v>97.0857</v>
      </c>
      <c r="G59" s="35">
        <v>113.54180000000088</v>
      </c>
      <c r="H59" s="35">
        <v>75.7803</v>
      </c>
      <c r="I59" s="35">
        <v>72.429</v>
      </c>
      <c r="J59" s="35">
        <v>13.120699999999488</v>
      </c>
      <c r="K59" s="35">
        <v>0</v>
      </c>
      <c r="L59" s="35">
        <v>0</v>
      </c>
      <c r="M59" s="1051">
        <f t="shared" si="0"/>
        <v>427.3933000000004</v>
      </c>
    </row>
    <row r="60" spans="1:13" ht="12.75">
      <c r="A60" s="1050" t="s">
        <v>632</v>
      </c>
      <c r="B60" s="514">
        <v>0.42</v>
      </c>
      <c r="C60" s="1221"/>
      <c r="D60" s="516" t="s">
        <v>233</v>
      </c>
      <c r="E60" s="35">
        <v>57.167</v>
      </c>
      <c r="F60" s="35">
        <v>19.437</v>
      </c>
      <c r="G60" s="35">
        <v>22.333139999999947</v>
      </c>
      <c r="H60" s="35">
        <v>40.810068</v>
      </c>
      <c r="I60" s="35">
        <v>63.87232800000002</v>
      </c>
      <c r="J60" s="35">
        <v>68.57187599999993</v>
      </c>
      <c r="K60" s="35">
        <v>52.95273600000008</v>
      </c>
      <c r="L60" s="35">
        <v>40.52892</v>
      </c>
      <c r="M60" s="1051">
        <f t="shared" si="0"/>
        <v>365.67306799999994</v>
      </c>
    </row>
    <row r="61" spans="1:13" ht="12.75">
      <c r="A61" s="1050" t="s">
        <v>633</v>
      </c>
      <c r="B61" s="514">
        <v>0.63</v>
      </c>
      <c r="C61" s="1221"/>
      <c r="D61" s="516" t="s">
        <v>229</v>
      </c>
      <c r="E61" s="35">
        <v>38.42119999999977</v>
      </c>
      <c r="F61" s="35">
        <v>65.79530000000022</v>
      </c>
      <c r="G61" s="35">
        <v>118.77779999999984</v>
      </c>
      <c r="H61" s="35">
        <v>82.44129999999996</v>
      </c>
      <c r="I61" s="35">
        <v>79.95100000000004</v>
      </c>
      <c r="J61" s="35">
        <v>37.73590000000012</v>
      </c>
      <c r="K61" s="35">
        <v>0</v>
      </c>
      <c r="L61" s="35">
        <v>0</v>
      </c>
      <c r="M61" s="1051">
        <f t="shared" si="0"/>
        <v>423.12249999999995</v>
      </c>
    </row>
    <row r="62" spans="1:13" ht="12.75">
      <c r="A62" s="1050" t="s">
        <v>634</v>
      </c>
      <c r="B62" s="514">
        <v>0.25</v>
      </c>
      <c r="C62" s="1221"/>
      <c r="D62" s="516" t="s">
        <v>233</v>
      </c>
      <c r="E62" s="35">
        <v>62.18664</v>
      </c>
      <c r="F62" s="35">
        <v>68.59859999999986</v>
      </c>
      <c r="G62" s="35">
        <v>74.83080000000001</v>
      </c>
      <c r="H62" s="35">
        <v>28.15524000000005</v>
      </c>
      <c r="I62" s="35">
        <v>52.23395999999993</v>
      </c>
      <c r="J62" s="35">
        <v>31.84956</v>
      </c>
      <c r="K62" s="35">
        <v>17.641319999999997</v>
      </c>
      <c r="L62" s="35">
        <v>0</v>
      </c>
      <c r="M62" s="1051">
        <f t="shared" si="0"/>
        <v>335.49611999999985</v>
      </c>
    </row>
    <row r="63" spans="1:13" ht="12.75">
      <c r="A63" s="1050" t="s">
        <v>635</v>
      </c>
      <c r="B63" s="514">
        <v>0.38</v>
      </c>
      <c r="C63" s="1221"/>
      <c r="D63" s="516" t="s">
        <v>235</v>
      </c>
      <c r="E63" s="35">
        <v>54</v>
      </c>
      <c r="F63" s="35">
        <v>79.8636</v>
      </c>
      <c r="G63" s="35">
        <v>80.36399999999998</v>
      </c>
      <c r="H63" s="35">
        <v>55.209599999999995</v>
      </c>
      <c r="I63" s="35">
        <v>35.92800000000001</v>
      </c>
      <c r="J63" s="35">
        <v>19.2</v>
      </c>
      <c r="K63" s="35">
        <v>12.96</v>
      </c>
      <c r="L63" s="35">
        <v>5.342399999999998</v>
      </c>
      <c r="M63" s="1051">
        <f t="shared" si="0"/>
        <v>342.8675999999999</v>
      </c>
    </row>
    <row r="64" spans="1:13" ht="12.75">
      <c r="A64" s="1050" t="s">
        <v>636</v>
      </c>
      <c r="B64" s="514">
        <v>1.2</v>
      </c>
      <c r="C64" s="1221"/>
      <c r="D64" s="516" t="s">
        <v>229</v>
      </c>
      <c r="E64" s="35">
        <v>86</v>
      </c>
      <c r="F64" s="35">
        <v>280</v>
      </c>
      <c r="G64" s="35">
        <v>490</v>
      </c>
      <c r="H64" s="35">
        <v>462</v>
      </c>
      <c r="I64" s="35">
        <v>331.637</v>
      </c>
      <c r="J64" s="35">
        <v>223.94320000000153</v>
      </c>
      <c r="K64" s="35">
        <v>51.056799999998475</v>
      </c>
      <c r="L64" s="35">
        <v>0.04320000000006985</v>
      </c>
      <c r="M64" s="1051">
        <f t="shared" si="0"/>
        <v>1924.6802</v>
      </c>
    </row>
    <row r="65" spans="1:13" ht="12.75">
      <c r="A65" s="1050" t="s">
        <v>637</v>
      </c>
      <c r="B65" s="514">
        <v>0.25</v>
      </c>
      <c r="C65" s="1221"/>
      <c r="D65" s="516" t="s">
        <v>233</v>
      </c>
      <c r="E65" s="35">
        <v>88.51026000000013</v>
      </c>
      <c r="F65" s="35">
        <v>107.4615600000001</v>
      </c>
      <c r="G65" s="35">
        <v>97.68</v>
      </c>
      <c r="H65" s="35">
        <v>81.58679999999993</v>
      </c>
      <c r="I65" s="35">
        <v>100.898052</v>
      </c>
      <c r="J65" s="35">
        <v>12.846803999999985</v>
      </c>
      <c r="K65" s="35">
        <v>1.0059839999999987</v>
      </c>
      <c r="L65" s="35">
        <v>0</v>
      </c>
      <c r="M65" s="1051">
        <f t="shared" si="0"/>
        <v>489.9894600000002</v>
      </c>
    </row>
    <row r="66" spans="1:13" ht="12.75">
      <c r="A66" s="1050" t="s">
        <v>638</v>
      </c>
      <c r="B66" s="514">
        <v>1.02</v>
      </c>
      <c r="C66" s="1221"/>
      <c r="D66" s="516" t="s">
        <v>229</v>
      </c>
      <c r="E66" s="35">
        <v>90</v>
      </c>
      <c r="F66" s="35">
        <v>129</v>
      </c>
      <c r="G66" s="35">
        <v>324</v>
      </c>
      <c r="H66" s="35">
        <v>162</v>
      </c>
      <c r="I66" s="35">
        <v>113.6700000000003</v>
      </c>
      <c r="J66" s="35">
        <v>64.91999999999962</v>
      </c>
      <c r="K66" s="35">
        <v>0.5100000000002183</v>
      </c>
      <c r="L66" s="35">
        <v>0</v>
      </c>
      <c r="M66" s="1051">
        <f t="shared" si="0"/>
        <v>884.1000000000001</v>
      </c>
    </row>
    <row r="67" spans="1:13" ht="12.75">
      <c r="A67" s="1050" t="s">
        <v>639</v>
      </c>
      <c r="B67" s="514">
        <v>0.75</v>
      </c>
      <c r="C67" s="1222"/>
      <c r="D67" s="516" t="s">
        <v>229</v>
      </c>
      <c r="E67" s="35">
        <v>91.88530200000025</v>
      </c>
      <c r="F67" s="35">
        <v>122.67059800000023</v>
      </c>
      <c r="G67" s="35">
        <v>28.9502</v>
      </c>
      <c r="H67" s="35">
        <v>94.82619999999997</v>
      </c>
      <c r="I67" s="35">
        <v>22.502500000000055</v>
      </c>
      <c r="J67" s="35">
        <v>0</v>
      </c>
      <c r="K67" s="35">
        <v>0</v>
      </c>
      <c r="L67" s="35">
        <v>0</v>
      </c>
      <c r="M67" s="1051">
        <f t="shared" si="0"/>
        <v>360.8348000000005</v>
      </c>
    </row>
    <row r="68" spans="1:13" ht="12.75">
      <c r="A68" s="1050" t="s">
        <v>640</v>
      </c>
      <c r="B68" s="514">
        <v>2.96</v>
      </c>
      <c r="C68" s="1021" t="s">
        <v>236</v>
      </c>
      <c r="D68" s="516" t="s">
        <v>231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340.33999999999924</v>
      </c>
      <c r="K68" s="35">
        <v>1394.8480000000009</v>
      </c>
      <c r="L68" s="35">
        <v>1078.510999999999</v>
      </c>
      <c r="M68" s="1051">
        <f t="shared" si="0"/>
        <v>2813.698999999999</v>
      </c>
    </row>
    <row r="69" spans="1:13" ht="12.75">
      <c r="A69" s="1050" t="s">
        <v>641</v>
      </c>
      <c r="B69" s="514">
        <v>2.5</v>
      </c>
      <c r="C69" s="1021" t="s">
        <v>237</v>
      </c>
      <c r="D69" s="516" t="s">
        <v>231</v>
      </c>
      <c r="E69" s="35">
        <v>41.47500000000127</v>
      </c>
      <c r="F69" s="35">
        <v>184.34850000000097</v>
      </c>
      <c r="G69" s="35">
        <v>565.5790000000002</v>
      </c>
      <c r="H69" s="35">
        <v>252.63699999999926</v>
      </c>
      <c r="I69" s="35">
        <v>284.38199999999824</v>
      </c>
      <c r="J69" s="35">
        <v>62.398000000001495</v>
      </c>
      <c r="K69" s="35">
        <v>0</v>
      </c>
      <c r="L69" s="35">
        <v>0</v>
      </c>
      <c r="M69" s="1051">
        <f t="shared" si="0"/>
        <v>1390.8195000000014</v>
      </c>
    </row>
    <row r="70" spans="1:13" ht="12.75">
      <c r="A70" s="1050" t="s">
        <v>642</v>
      </c>
      <c r="B70" s="514">
        <v>0.57</v>
      </c>
      <c r="C70" s="1021" t="s">
        <v>238</v>
      </c>
      <c r="D70" s="516" t="s">
        <v>229</v>
      </c>
      <c r="E70" s="35">
        <v>123.262</v>
      </c>
      <c r="F70" s="35">
        <v>132.303</v>
      </c>
      <c r="G70" s="35">
        <v>165.69200000000095</v>
      </c>
      <c r="H70" s="35">
        <v>183.97099999999952</v>
      </c>
      <c r="I70" s="35">
        <v>196.34699999999978</v>
      </c>
      <c r="J70" s="35">
        <v>132.51499999999942</v>
      </c>
      <c r="K70" s="35">
        <v>76.58300000000054</v>
      </c>
      <c r="L70" s="35">
        <v>45.847999999999956</v>
      </c>
      <c r="M70" s="1051">
        <f t="shared" si="0"/>
        <v>1056.5210000000002</v>
      </c>
    </row>
    <row r="71" spans="1:13" ht="12.75">
      <c r="A71" s="1050" t="s">
        <v>643</v>
      </c>
      <c r="B71" s="514">
        <v>4.6</v>
      </c>
      <c r="C71" s="1219" t="s">
        <v>239</v>
      </c>
      <c r="D71" s="516" t="s">
        <v>240</v>
      </c>
      <c r="E71" s="35">
        <v>22.596</v>
      </c>
      <c r="F71" s="35">
        <v>850.332</v>
      </c>
      <c r="G71" s="35">
        <v>1273.5555000000018</v>
      </c>
      <c r="H71" s="35">
        <v>1184.3789999999976</v>
      </c>
      <c r="I71" s="35">
        <v>961.2959999999966</v>
      </c>
      <c r="J71" s="35">
        <v>344.5470000000032</v>
      </c>
      <c r="K71" s="35">
        <v>21.356999999996333</v>
      </c>
      <c r="L71" s="35">
        <v>0</v>
      </c>
      <c r="M71" s="1051">
        <f t="shared" si="0"/>
        <v>4658.062499999995</v>
      </c>
    </row>
    <row r="72" spans="1:13" ht="12.75">
      <c r="A72" s="1050" t="s">
        <v>644</v>
      </c>
      <c r="B72" s="514">
        <v>3</v>
      </c>
      <c r="C72" s="1219"/>
      <c r="D72" s="516" t="s">
        <v>240</v>
      </c>
      <c r="E72" s="35">
        <v>493.82</v>
      </c>
      <c r="F72" s="35">
        <v>1175.905499999998</v>
      </c>
      <c r="G72" s="35">
        <v>1502.3085000000005</v>
      </c>
      <c r="H72" s="35">
        <v>1171.9207500000005</v>
      </c>
      <c r="I72" s="35">
        <v>963.3855000000009</v>
      </c>
      <c r="J72" s="35">
        <v>543.6007500000006</v>
      </c>
      <c r="K72" s="35">
        <v>113.363249999998</v>
      </c>
      <c r="L72" s="35">
        <v>0</v>
      </c>
      <c r="M72" s="1051">
        <f t="shared" si="0"/>
        <v>5964.304249999998</v>
      </c>
    </row>
    <row r="73" spans="1:13" ht="12.75">
      <c r="A73" s="1050" t="s">
        <v>645</v>
      </c>
      <c r="B73" s="514">
        <v>1.95</v>
      </c>
      <c r="C73" s="1021" t="s">
        <v>241</v>
      </c>
      <c r="D73" s="516" t="s">
        <v>233</v>
      </c>
      <c r="E73" s="35">
        <v>95.15999999999913</v>
      </c>
      <c r="F73" s="35">
        <v>343.93439999999896</v>
      </c>
      <c r="G73" s="35">
        <v>450.80400000000014</v>
      </c>
      <c r="H73" s="35">
        <v>313.9728000000003</v>
      </c>
      <c r="I73" s="35">
        <v>227.9688000000002</v>
      </c>
      <c r="J73" s="35">
        <v>54.264000000001396</v>
      </c>
      <c r="K73" s="35">
        <v>0</v>
      </c>
      <c r="L73" s="35">
        <v>0</v>
      </c>
      <c r="M73" s="1051">
        <f t="shared" si="0"/>
        <v>1486.104</v>
      </c>
    </row>
    <row r="74" spans="1:13" ht="12.75">
      <c r="A74" s="1050" t="s">
        <v>646</v>
      </c>
      <c r="B74" s="514">
        <v>1.5</v>
      </c>
      <c r="C74" s="504" t="s">
        <v>242</v>
      </c>
      <c r="D74" s="1022" t="s">
        <v>240</v>
      </c>
      <c r="E74" s="35">
        <v>419.33743299999975</v>
      </c>
      <c r="F74" s="35">
        <v>1876.556649</v>
      </c>
      <c r="G74" s="35">
        <v>3179.5725040000007</v>
      </c>
      <c r="H74" s="35">
        <v>3086.205398</v>
      </c>
      <c r="I74" s="35">
        <v>3363.2521760000004</v>
      </c>
      <c r="J74" s="35">
        <v>1768.4259329999998</v>
      </c>
      <c r="K74" s="35">
        <v>718.2750810000005</v>
      </c>
      <c r="L74" s="35">
        <v>94.23255899999997</v>
      </c>
      <c r="M74" s="1051">
        <f aca="true" t="shared" si="1" ref="M74:M105">SUM(E74:L74)</f>
        <v>14505.857733</v>
      </c>
    </row>
    <row r="75" spans="1:13" ht="12.75">
      <c r="A75" s="1050" t="s">
        <v>647</v>
      </c>
      <c r="B75" s="514">
        <v>2.95</v>
      </c>
      <c r="C75" s="504" t="s">
        <v>242</v>
      </c>
      <c r="D75" s="1022" t="s">
        <v>240</v>
      </c>
      <c r="E75" s="35">
        <v>146.26499999999987</v>
      </c>
      <c r="F75" s="35">
        <v>808.5769999999982</v>
      </c>
      <c r="G75" s="35">
        <v>1306.3680000000018</v>
      </c>
      <c r="H75" s="35">
        <v>1197.4829999999981</v>
      </c>
      <c r="I75" s="35">
        <v>1329.4890000000025</v>
      </c>
      <c r="J75" s="35">
        <v>692.7479999999995</v>
      </c>
      <c r="K75" s="35">
        <v>247.8559999999993</v>
      </c>
      <c r="L75" s="35">
        <v>84.04900000000043</v>
      </c>
      <c r="M75" s="1051">
        <f t="shared" si="1"/>
        <v>5812.835000000001</v>
      </c>
    </row>
    <row r="76" spans="1:13" ht="12.75">
      <c r="A76" s="1050" t="s">
        <v>648</v>
      </c>
      <c r="B76" s="514">
        <v>3.27</v>
      </c>
      <c r="C76" s="504" t="s">
        <v>242</v>
      </c>
      <c r="D76" s="1022" t="s">
        <v>240</v>
      </c>
      <c r="E76" s="35">
        <v>191.422</v>
      </c>
      <c r="F76" s="35">
        <v>908.74</v>
      </c>
      <c r="G76" s="35">
        <v>1477.728</v>
      </c>
      <c r="H76" s="35">
        <v>1346.87</v>
      </c>
      <c r="I76" s="35">
        <v>1430.6180000000004</v>
      </c>
      <c r="J76" s="35">
        <v>768.3619999999997</v>
      </c>
      <c r="K76" s="35">
        <v>266.38500000000045</v>
      </c>
      <c r="L76" s="35">
        <v>77.46199999999982</v>
      </c>
      <c r="M76" s="1051">
        <f t="shared" si="1"/>
        <v>6467.587</v>
      </c>
    </row>
    <row r="77" spans="1:13" ht="12.75">
      <c r="A77" s="1050" t="s">
        <v>649</v>
      </c>
      <c r="B77" s="514">
        <v>2.68</v>
      </c>
      <c r="C77" s="1219" t="s">
        <v>243</v>
      </c>
      <c r="D77" s="516" t="s">
        <v>229</v>
      </c>
      <c r="E77" s="35">
        <v>577.8431999999999</v>
      </c>
      <c r="F77" s="35">
        <v>1056.1871999999987</v>
      </c>
      <c r="G77" s="35">
        <v>1573.526400000001</v>
      </c>
      <c r="H77" s="35">
        <v>740.7407999999996</v>
      </c>
      <c r="I77" s="35">
        <v>400.31999999999823</v>
      </c>
      <c r="J77" s="35">
        <v>95.71200000000245</v>
      </c>
      <c r="K77" s="35">
        <v>0</v>
      </c>
      <c r="L77" s="35">
        <v>0</v>
      </c>
      <c r="M77" s="1051">
        <f t="shared" si="1"/>
        <v>4444.3296</v>
      </c>
    </row>
    <row r="78" spans="1:13" ht="12.75">
      <c r="A78" s="1050" t="s">
        <v>650</v>
      </c>
      <c r="B78" s="514">
        <v>1</v>
      </c>
      <c r="C78" s="1219"/>
      <c r="D78" s="516" t="s">
        <v>229</v>
      </c>
      <c r="E78" s="35">
        <v>333.3648</v>
      </c>
      <c r="F78" s="35">
        <v>615.3480000000011</v>
      </c>
      <c r="G78" s="35">
        <v>940.7280000000006</v>
      </c>
      <c r="H78" s="35">
        <v>430.31759999999775</v>
      </c>
      <c r="I78" s="35">
        <v>217.4711999999985</v>
      </c>
      <c r="J78" s="35">
        <v>59.34720000000234</v>
      </c>
      <c r="K78" s="35">
        <v>0</v>
      </c>
      <c r="L78" s="35">
        <v>0</v>
      </c>
      <c r="M78" s="1051">
        <f t="shared" si="1"/>
        <v>2596.5768000000003</v>
      </c>
    </row>
    <row r="79" spans="1:13" ht="12.75">
      <c r="A79" s="1050" t="s">
        <v>651</v>
      </c>
      <c r="B79" s="514">
        <v>0.2</v>
      </c>
      <c r="C79" s="1021" t="s">
        <v>244</v>
      </c>
      <c r="D79" s="516" t="s">
        <v>229</v>
      </c>
      <c r="E79" s="35">
        <v>17.21599999999962</v>
      </c>
      <c r="F79" s="35">
        <v>81.08400000000037</v>
      </c>
      <c r="G79" s="35">
        <v>102.2</v>
      </c>
      <c r="H79" s="35">
        <v>47.439999999999415</v>
      </c>
      <c r="I79" s="35">
        <v>44.556000000000495</v>
      </c>
      <c r="J79" s="35">
        <v>31.46800000000003</v>
      </c>
      <c r="K79" s="35">
        <v>0</v>
      </c>
      <c r="L79" s="35">
        <v>0</v>
      </c>
      <c r="M79" s="1051">
        <f t="shared" si="1"/>
        <v>323.96399999999994</v>
      </c>
    </row>
    <row r="80" spans="1:13" ht="12.75">
      <c r="A80" s="1050" t="s">
        <v>652</v>
      </c>
      <c r="B80" s="514">
        <v>0.3</v>
      </c>
      <c r="C80" s="1021" t="s">
        <v>245</v>
      </c>
      <c r="D80" s="516" t="s">
        <v>229</v>
      </c>
      <c r="E80" s="35">
        <v>0</v>
      </c>
      <c r="F80" s="35">
        <v>31.8</v>
      </c>
      <c r="G80" s="35">
        <v>49.2</v>
      </c>
      <c r="H80" s="35">
        <v>15</v>
      </c>
      <c r="I80" s="35">
        <v>15.269999999999891</v>
      </c>
      <c r="J80" s="35">
        <v>0</v>
      </c>
      <c r="K80" s="35">
        <v>0</v>
      </c>
      <c r="L80" s="35">
        <v>3.306000000000131</v>
      </c>
      <c r="M80" s="1051">
        <f t="shared" si="1"/>
        <v>114.57600000000002</v>
      </c>
    </row>
    <row r="81" spans="1:13" ht="12.75">
      <c r="A81" s="1050" t="s">
        <v>653</v>
      </c>
      <c r="B81" s="514">
        <v>3.43</v>
      </c>
      <c r="C81" s="1021" t="s">
        <v>246</v>
      </c>
      <c r="D81" s="516" t="s">
        <v>240</v>
      </c>
      <c r="E81" s="35">
        <v>396.4300000000003</v>
      </c>
      <c r="F81" s="35">
        <v>1300.4700000000012</v>
      </c>
      <c r="G81" s="35">
        <v>1777.3399999999965</v>
      </c>
      <c r="H81" s="35">
        <v>1255.6100000000004</v>
      </c>
      <c r="I81" s="35">
        <v>952.6399999999994</v>
      </c>
      <c r="J81" s="35">
        <v>325.5400000000009</v>
      </c>
      <c r="K81" s="35">
        <v>0</v>
      </c>
      <c r="L81" s="35">
        <v>0</v>
      </c>
      <c r="M81" s="1051">
        <f t="shared" si="1"/>
        <v>6008.029999999999</v>
      </c>
    </row>
    <row r="82" spans="1:13" ht="12.75">
      <c r="A82" s="1050" t="s">
        <v>654</v>
      </c>
      <c r="B82" s="514">
        <v>0.25</v>
      </c>
      <c r="C82" s="1021" t="s">
        <v>247</v>
      </c>
      <c r="D82" s="516" t="s">
        <v>233</v>
      </c>
      <c r="E82" s="35">
        <v>15.846</v>
      </c>
      <c r="F82" s="35">
        <v>30.601</v>
      </c>
      <c r="G82" s="35">
        <v>37.687200000000004</v>
      </c>
      <c r="H82" s="35">
        <v>26.670600000000015</v>
      </c>
      <c r="I82" s="35">
        <v>19.696799999999985</v>
      </c>
      <c r="J82" s="35">
        <v>10.167000000000028</v>
      </c>
      <c r="K82" s="35">
        <v>2.2019999999999755</v>
      </c>
      <c r="L82" s="35">
        <v>0.5801999999999907</v>
      </c>
      <c r="M82" s="1051">
        <f t="shared" si="1"/>
        <v>143.45080000000002</v>
      </c>
    </row>
    <row r="83" spans="1:13" ht="12.75">
      <c r="A83" s="1050" t="s">
        <v>655</v>
      </c>
      <c r="B83" s="514">
        <v>12.3</v>
      </c>
      <c r="C83" s="1021" t="s">
        <v>248</v>
      </c>
      <c r="D83" s="516" t="s">
        <v>240</v>
      </c>
      <c r="E83" s="35">
        <v>1672.8600000000017</v>
      </c>
      <c r="F83" s="35">
        <v>4008.6480000000006</v>
      </c>
      <c r="G83" s="35">
        <v>6398.448</v>
      </c>
      <c r="H83" s="35">
        <v>5792.7239999999965</v>
      </c>
      <c r="I83" s="35">
        <v>6223.728000000004</v>
      </c>
      <c r="J83" s="35">
        <v>3693.1440000000007</v>
      </c>
      <c r="K83" s="35">
        <v>292.23599999999396</v>
      </c>
      <c r="L83" s="35">
        <v>38.304000000011</v>
      </c>
      <c r="M83" s="1051">
        <f t="shared" si="1"/>
        <v>28120.092000000008</v>
      </c>
    </row>
    <row r="84" spans="1:13" ht="12.75">
      <c r="A84" s="1050" t="s">
        <v>656</v>
      </c>
      <c r="B84" s="514">
        <v>14.2</v>
      </c>
      <c r="C84" s="1021" t="s">
        <v>571</v>
      </c>
      <c r="D84" s="516" t="s">
        <v>240</v>
      </c>
      <c r="E84" s="35">
        <v>1032.4970999999941</v>
      </c>
      <c r="F84" s="35">
        <v>1751.502289999999</v>
      </c>
      <c r="G84" s="35">
        <v>4459.501090000003</v>
      </c>
      <c r="H84" s="35">
        <v>2699.9338900000007</v>
      </c>
      <c r="I84" s="35">
        <v>2146.2178599999993</v>
      </c>
      <c r="J84" s="35">
        <v>666.7995199999958</v>
      </c>
      <c r="K84" s="35">
        <v>136.45981999999285</v>
      </c>
      <c r="L84" s="35">
        <v>20.438739999994635</v>
      </c>
      <c r="M84" s="1051">
        <f t="shared" si="1"/>
        <v>12913.350309999978</v>
      </c>
    </row>
    <row r="85" spans="1:13" ht="12.75">
      <c r="A85" s="1050" t="s">
        <v>657</v>
      </c>
      <c r="B85" s="514">
        <v>0.15</v>
      </c>
      <c r="C85" s="504" t="s">
        <v>249</v>
      </c>
      <c r="D85" s="516" t="s">
        <v>233</v>
      </c>
      <c r="E85" s="35">
        <v>0</v>
      </c>
      <c r="F85" s="35">
        <v>16.73999999999992</v>
      </c>
      <c r="G85" s="35">
        <v>17.940000000000055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1051">
        <f t="shared" si="1"/>
        <v>34.67999999999998</v>
      </c>
    </row>
    <row r="86" spans="1:13" ht="12.75">
      <c r="A86" s="1050" t="s">
        <v>658</v>
      </c>
      <c r="B86" s="514">
        <v>6.4</v>
      </c>
      <c r="C86" s="1021" t="s">
        <v>250</v>
      </c>
      <c r="D86" s="518" t="s">
        <v>240</v>
      </c>
      <c r="E86" s="35">
        <v>268.5992000000042</v>
      </c>
      <c r="F86" s="35">
        <v>1263.214999999994</v>
      </c>
      <c r="G86" s="35">
        <v>1880.1146000000076</v>
      </c>
      <c r="H86" s="35">
        <v>1834.886999999999</v>
      </c>
      <c r="I86" s="35">
        <v>1580.9481999999991</v>
      </c>
      <c r="J86" s="35">
        <v>505.278</v>
      </c>
      <c r="K86" s="35">
        <v>66.73559999999378</v>
      </c>
      <c r="L86" s="35">
        <v>0</v>
      </c>
      <c r="M86" s="1051">
        <f t="shared" si="1"/>
        <v>7399.777599999998</v>
      </c>
    </row>
    <row r="87" spans="1:13" ht="12.75">
      <c r="A87" s="1050" t="s">
        <v>659</v>
      </c>
      <c r="B87" s="514">
        <v>1</v>
      </c>
      <c r="C87" s="1219" t="s">
        <v>251</v>
      </c>
      <c r="D87" s="519">
        <v>10</v>
      </c>
      <c r="E87" s="35">
        <v>31.338000000000246</v>
      </c>
      <c r="F87" s="35">
        <v>326.466</v>
      </c>
      <c r="G87" s="35">
        <v>208.10999999999981</v>
      </c>
      <c r="H87" s="35">
        <v>140.81400000000014</v>
      </c>
      <c r="I87" s="35">
        <v>187.18199999999985</v>
      </c>
      <c r="J87" s="35">
        <v>41.91900000000005</v>
      </c>
      <c r="K87" s="35">
        <v>2.342999999999847</v>
      </c>
      <c r="L87" s="35">
        <v>0.2370000000000232</v>
      </c>
      <c r="M87" s="1051">
        <f t="shared" si="1"/>
        <v>938.4090000000001</v>
      </c>
    </row>
    <row r="88" spans="1:13" ht="12.75">
      <c r="A88" s="1050" t="s">
        <v>660</v>
      </c>
      <c r="B88" s="514">
        <v>0.28</v>
      </c>
      <c r="C88" s="1219"/>
      <c r="D88" s="516" t="s">
        <v>229</v>
      </c>
      <c r="E88" s="35">
        <v>76.1430000000006</v>
      </c>
      <c r="F88" s="35">
        <v>247.54949999999954</v>
      </c>
      <c r="G88" s="35">
        <v>275.9520000000001</v>
      </c>
      <c r="H88" s="35">
        <v>203.8230000000001</v>
      </c>
      <c r="I88" s="35">
        <v>149.02199999999993</v>
      </c>
      <c r="J88" s="35">
        <v>36.28950000000031</v>
      </c>
      <c r="K88" s="35">
        <v>0</v>
      </c>
      <c r="L88" s="35">
        <v>0</v>
      </c>
      <c r="M88" s="1051">
        <f t="shared" si="1"/>
        <v>988.7790000000006</v>
      </c>
    </row>
    <row r="89" spans="1:13" ht="12.75">
      <c r="A89" s="1050" t="s">
        <v>661</v>
      </c>
      <c r="B89" s="514">
        <v>0.6</v>
      </c>
      <c r="C89" s="504" t="s">
        <v>252</v>
      </c>
      <c r="D89" s="516" t="s">
        <v>229</v>
      </c>
      <c r="E89" s="35">
        <v>0</v>
      </c>
      <c r="F89" s="35">
        <v>560.079</v>
      </c>
      <c r="G89" s="35">
        <v>428.4149999999995</v>
      </c>
      <c r="H89" s="35">
        <v>184.23000000000025</v>
      </c>
      <c r="I89" s="35">
        <v>114.2099999999998</v>
      </c>
      <c r="J89" s="35">
        <v>0</v>
      </c>
      <c r="K89" s="35">
        <v>0</v>
      </c>
      <c r="L89" s="35">
        <v>0</v>
      </c>
      <c r="M89" s="1051">
        <f t="shared" si="1"/>
        <v>1286.9339999999995</v>
      </c>
    </row>
    <row r="90" spans="1:13" ht="12.75">
      <c r="A90" s="1050" t="s">
        <v>662</v>
      </c>
      <c r="B90" s="514">
        <v>2</v>
      </c>
      <c r="C90" s="1021" t="s">
        <v>253</v>
      </c>
      <c r="D90" s="516" t="s">
        <v>240</v>
      </c>
      <c r="E90" s="35">
        <v>232.206</v>
      </c>
      <c r="F90" s="35">
        <v>685.104</v>
      </c>
      <c r="G90" s="35">
        <v>966.0659999999998</v>
      </c>
      <c r="H90" s="35">
        <v>688.3800000000001</v>
      </c>
      <c r="I90" s="35">
        <v>653.5620000000001</v>
      </c>
      <c r="J90" s="35">
        <v>212.6999999999996</v>
      </c>
      <c r="K90" s="35">
        <v>5.568000000000666</v>
      </c>
      <c r="L90" s="35">
        <v>0</v>
      </c>
      <c r="M90" s="1051">
        <f t="shared" si="1"/>
        <v>3443.5860000000007</v>
      </c>
    </row>
    <row r="91" spans="1:13" ht="12.75">
      <c r="A91" s="1050" t="s">
        <v>663</v>
      </c>
      <c r="B91" s="514">
        <v>1.5</v>
      </c>
      <c r="C91" s="1217" t="s">
        <v>254</v>
      </c>
      <c r="D91" s="516" t="s">
        <v>229</v>
      </c>
      <c r="E91" s="35">
        <v>209.752</v>
      </c>
      <c r="F91" s="35">
        <v>377.40400000000227</v>
      </c>
      <c r="G91" s="35">
        <v>338.0859999999993</v>
      </c>
      <c r="H91" s="35">
        <v>178.53600000000006</v>
      </c>
      <c r="I91" s="35">
        <v>138.65199999999822</v>
      </c>
      <c r="J91" s="35">
        <v>61.332000000002154</v>
      </c>
      <c r="K91" s="35">
        <v>0</v>
      </c>
      <c r="L91" s="35">
        <v>0</v>
      </c>
      <c r="M91" s="1051">
        <f t="shared" si="1"/>
        <v>1303.762000000002</v>
      </c>
    </row>
    <row r="92" spans="1:13" ht="12.75">
      <c r="A92" s="1050" t="s">
        <v>664</v>
      </c>
      <c r="B92" s="514">
        <v>1.2</v>
      </c>
      <c r="C92" s="1218"/>
      <c r="D92" s="516" t="s">
        <v>229</v>
      </c>
      <c r="E92" s="35">
        <v>406.72</v>
      </c>
      <c r="F92" s="35">
        <v>979.776</v>
      </c>
      <c r="G92" s="35">
        <v>1259.455999999999</v>
      </c>
      <c r="H92" s="35">
        <v>460.64800000000105</v>
      </c>
      <c r="I92" s="35">
        <v>504.06400000000036</v>
      </c>
      <c r="J92" s="35">
        <v>206.76000000000025</v>
      </c>
      <c r="K92" s="35">
        <v>3.359999999998763</v>
      </c>
      <c r="L92" s="35">
        <v>0.28000000000065484</v>
      </c>
      <c r="M92" s="1051">
        <f t="shared" si="1"/>
        <v>3821.0640000000003</v>
      </c>
    </row>
    <row r="93" spans="1:13" ht="12.75">
      <c r="A93" s="1050" t="s">
        <v>665</v>
      </c>
      <c r="B93" s="514">
        <v>0.5</v>
      </c>
      <c r="C93" s="1021" t="s">
        <v>255</v>
      </c>
      <c r="D93" s="516" t="s">
        <v>229</v>
      </c>
      <c r="E93" s="35">
        <v>219.27</v>
      </c>
      <c r="F93" s="35">
        <v>229.88</v>
      </c>
      <c r="G93" s="35">
        <v>260.5500000000011</v>
      </c>
      <c r="H93" s="35">
        <v>270.1900000000005</v>
      </c>
      <c r="I93" s="35">
        <v>269.21999999999935</v>
      </c>
      <c r="J93" s="35">
        <v>129.70000000000073</v>
      </c>
      <c r="K93" s="35">
        <v>0</v>
      </c>
      <c r="L93" s="35">
        <v>0</v>
      </c>
      <c r="M93" s="1051">
        <f t="shared" si="1"/>
        <v>1378.8100000000018</v>
      </c>
    </row>
    <row r="94" spans="1:13" ht="12.75">
      <c r="A94" s="1050" t="s">
        <v>666</v>
      </c>
      <c r="B94" s="514">
        <v>3.2</v>
      </c>
      <c r="C94" s="1021" t="s">
        <v>256</v>
      </c>
      <c r="D94" s="516" t="s">
        <v>240</v>
      </c>
      <c r="E94" s="35">
        <v>10.64</v>
      </c>
      <c r="F94" s="35">
        <v>436.3851999999986</v>
      </c>
      <c r="G94" s="35">
        <v>949.8240000000004</v>
      </c>
      <c r="H94" s="35">
        <v>540.7632000000049</v>
      </c>
      <c r="I94" s="35">
        <v>489.78719999999885</v>
      </c>
      <c r="J94" s="35">
        <v>102.84479999999749</v>
      </c>
      <c r="K94" s="35">
        <v>0</v>
      </c>
      <c r="L94" s="35">
        <v>0</v>
      </c>
      <c r="M94" s="1051">
        <f t="shared" si="1"/>
        <v>2530.2444</v>
      </c>
    </row>
    <row r="95" spans="1:13" ht="12.75">
      <c r="A95" s="1050" t="s">
        <v>667</v>
      </c>
      <c r="B95" s="514">
        <v>3.6</v>
      </c>
      <c r="C95" s="1021" t="s">
        <v>257</v>
      </c>
      <c r="D95" s="516" t="s">
        <v>240</v>
      </c>
      <c r="E95" s="35">
        <v>461.171</v>
      </c>
      <c r="F95" s="35">
        <v>1161.886</v>
      </c>
      <c r="G95" s="35">
        <v>1559.628</v>
      </c>
      <c r="H95" s="35">
        <v>1314.252</v>
      </c>
      <c r="I95" s="35">
        <v>909.036</v>
      </c>
      <c r="J95" s="35">
        <v>445.8239999999997</v>
      </c>
      <c r="K95" s="35">
        <v>67.82399999999971</v>
      </c>
      <c r="L95" s="35">
        <v>5.508000000000516</v>
      </c>
      <c r="M95" s="1051">
        <f t="shared" si="1"/>
        <v>5925.129</v>
      </c>
    </row>
    <row r="96" spans="1:13" ht="12.75">
      <c r="A96" s="1050" t="s">
        <v>668</v>
      </c>
      <c r="B96" s="514">
        <v>0.2</v>
      </c>
      <c r="C96" s="1021" t="s">
        <v>258</v>
      </c>
      <c r="D96" s="516" t="s">
        <v>233</v>
      </c>
      <c r="E96" s="35">
        <v>21.4524</v>
      </c>
      <c r="F96" s="35">
        <v>38.16719999999983</v>
      </c>
      <c r="G96" s="35">
        <v>42.29639999999992</v>
      </c>
      <c r="H96" s="35">
        <v>41.99400000000003</v>
      </c>
      <c r="I96" s="35">
        <v>29.13840000000002</v>
      </c>
      <c r="J96" s="35">
        <v>16.318799999999975</v>
      </c>
      <c r="K96" s="35">
        <v>0</v>
      </c>
      <c r="L96" s="35">
        <v>1.3176000000001113</v>
      </c>
      <c r="M96" s="1051">
        <f t="shared" si="1"/>
        <v>190.6847999999999</v>
      </c>
    </row>
    <row r="97" spans="1:13" ht="12.75">
      <c r="A97" s="1050" t="s">
        <v>669</v>
      </c>
      <c r="B97" s="514">
        <v>1.52</v>
      </c>
      <c r="C97" s="1021" t="s">
        <v>259</v>
      </c>
      <c r="D97" s="519" t="s">
        <v>260</v>
      </c>
      <c r="E97" s="35">
        <v>172.49959999999993</v>
      </c>
      <c r="F97" s="35">
        <v>0</v>
      </c>
      <c r="G97" s="35">
        <v>412.0424000000002</v>
      </c>
      <c r="H97" s="35">
        <v>200.91399999999982</v>
      </c>
      <c r="I97" s="35">
        <v>201.1323999999999</v>
      </c>
      <c r="J97" s="35">
        <v>77.406</v>
      </c>
      <c r="K97" s="35">
        <v>0</v>
      </c>
      <c r="L97" s="35">
        <v>0</v>
      </c>
      <c r="M97" s="1051">
        <f t="shared" si="1"/>
        <v>1063.9943999999998</v>
      </c>
    </row>
    <row r="98" spans="1:13" ht="12.75">
      <c r="A98" s="1050" t="s">
        <v>670</v>
      </c>
      <c r="B98" s="514">
        <v>10.5</v>
      </c>
      <c r="C98" s="1021" t="s">
        <v>261</v>
      </c>
      <c r="D98" s="516" t="s">
        <v>240</v>
      </c>
      <c r="E98" s="35">
        <v>454</v>
      </c>
      <c r="F98" s="35">
        <v>1866.2</v>
      </c>
      <c r="G98" s="35">
        <v>2839.8</v>
      </c>
      <c r="H98" s="35">
        <v>2071.9</v>
      </c>
      <c r="I98" s="35">
        <v>1550.3</v>
      </c>
      <c r="J98" s="35">
        <v>381</v>
      </c>
      <c r="K98" s="35">
        <v>26.8</v>
      </c>
      <c r="L98" s="35">
        <v>5.4</v>
      </c>
      <c r="M98" s="1051">
        <f t="shared" si="1"/>
        <v>9195.399999999998</v>
      </c>
    </row>
    <row r="99" spans="1:13" ht="12.75">
      <c r="A99" s="1050" t="s">
        <v>671</v>
      </c>
      <c r="B99" s="514">
        <v>5</v>
      </c>
      <c r="C99" s="504" t="s">
        <v>262</v>
      </c>
      <c r="D99" s="1022" t="s">
        <v>240</v>
      </c>
      <c r="E99" s="35">
        <v>142.90499999999656</v>
      </c>
      <c r="F99" s="35">
        <v>437.325</v>
      </c>
      <c r="G99" s="35">
        <v>845.25</v>
      </c>
      <c r="H99" s="35">
        <v>1638.7350000000001</v>
      </c>
      <c r="I99" s="35">
        <v>1632.3299999999997</v>
      </c>
      <c r="J99" s="35">
        <v>706.0200000000001</v>
      </c>
      <c r="K99" s="35">
        <v>162.33000000000038</v>
      </c>
      <c r="L99" s="35">
        <v>87.88500000000005</v>
      </c>
      <c r="M99" s="1051">
        <f t="shared" si="1"/>
        <v>5652.779999999997</v>
      </c>
    </row>
    <row r="100" spans="1:13" ht="12.75">
      <c r="A100" s="1050" t="s">
        <v>672</v>
      </c>
      <c r="B100" s="514">
        <v>1.08</v>
      </c>
      <c r="C100" s="504" t="s">
        <v>263</v>
      </c>
      <c r="D100" s="1022" t="s">
        <v>240</v>
      </c>
      <c r="E100" s="35">
        <v>920.839</v>
      </c>
      <c r="F100" s="35">
        <v>769.6710000000062</v>
      </c>
      <c r="G100" s="35">
        <v>730.1909999999943</v>
      </c>
      <c r="H100" s="35">
        <v>598.374</v>
      </c>
      <c r="I100" s="35">
        <v>512.3684999999955</v>
      </c>
      <c r="J100" s="35">
        <v>387.6285000000039</v>
      </c>
      <c r="K100" s="35">
        <v>318.61629999999997</v>
      </c>
      <c r="L100" s="35">
        <v>241.49220000000065</v>
      </c>
      <c r="M100" s="1051">
        <f t="shared" si="1"/>
        <v>4479.1805</v>
      </c>
    </row>
    <row r="101" spans="1:13" ht="12.75">
      <c r="A101" s="1050" t="s">
        <v>673</v>
      </c>
      <c r="B101" s="514">
        <v>0.32</v>
      </c>
      <c r="C101" s="1021" t="s">
        <v>264</v>
      </c>
      <c r="D101" s="516" t="s">
        <v>229</v>
      </c>
      <c r="E101" s="35">
        <v>79.551</v>
      </c>
      <c r="F101" s="35">
        <v>81.322</v>
      </c>
      <c r="G101" s="35">
        <v>96.475</v>
      </c>
      <c r="H101" s="35">
        <v>83.904</v>
      </c>
      <c r="I101" s="35">
        <v>83.927</v>
      </c>
      <c r="J101" s="35">
        <v>67.617</v>
      </c>
      <c r="K101" s="35">
        <v>45.303</v>
      </c>
      <c r="L101" s="35">
        <v>32.599</v>
      </c>
      <c r="M101" s="1051">
        <f t="shared" si="1"/>
        <v>570.698</v>
      </c>
    </row>
    <row r="102" spans="1:13" ht="12.75">
      <c r="A102" s="1050" t="s">
        <v>674</v>
      </c>
      <c r="B102" s="514">
        <v>0.5</v>
      </c>
      <c r="C102" s="1219" t="s">
        <v>265</v>
      </c>
      <c r="D102" s="516" t="s">
        <v>229</v>
      </c>
      <c r="E102" s="35">
        <v>98</v>
      </c>
      <c r="F102" s="35">
        <v>112</v>
      </c>
      <c r="G102" s="35">
        <v>174</v>
      </c>
      <c r="H102" s="35">
        <v>177</v>
      </c>
      <c r="I102" s="35">
        <v>123.82999999999993</v>
      </c>
      <c r="J102" s="35">
        <v>68.15000000000009</v>
      </c>
      <c r="K102" s="35">
        <v>0</v>
      </c>
      <c r="L102" s="35">
        <v>0</v>
      </c>
      <c r="M102" s="1051">
        <f t="shared" si="1"/>
        <v>752.98</v>
      </c>
    </row>
    <row r="103" spans="1:13" ht="12.75">
      <c r="A103" s="1050" t="s">
        <v>675</v>
      </c>
      <c r="B103" s="514">
        <v>0.8</v>
      </c>
      <c r="C103" s="1219"/>
      <c r="D103" s="516" t="s">
        <v>229</v>
      </c>
      <c r="E103" s="35">
        <v>70</v>
      </c>
      <c r="F103" s="35">
        <v>200</v>
      </c>
      <c r="G103" s="35">
        <v>390</v>
      </c>
      <c r="H103" s="35">
        <v>208</v>
      </c>
      <c r="I103" s="35">
        <v>170.06799999999976</v>
      </c>
      <c r="J103" s="35">
        <v>115.99800000000049</v>
      </c>
      <c r="K103" s="35">
        <v>0</v>
      </c>
      <c r="L103" s="35">
        <v>0</v>
      </c>
      <c r="M103" s="1051">
        <f t="shared" si="1"/>
        <v>1154.0660000000003</v>
      </c>
    </row>
    <row r="104" spans="1:13" ht="12.75">
      <c r="A104" s="1050" t="s">
        <v>676</v>
      </c>
      <c r="B104" s="514">
        <v>0.5</v>
      </c>
      <c r="C104" s="1219"/>
      <c r="D104" s="516" t="s">
        <v>229</v>
      </c>
      <c r="E104" s="35">
        <v>38.4</v>
      </c>
      <c r="F104" s="35">
        <v>72</v>
      </c>
      <c r="G104" s="35">
        <v>238.4</v>
      </c>
      <c r="H104" s="35">
        <v>136.8</v>
      </c>
      <c r="I104" s="35">
        <v>90.44399999999987</v>
      </c>
      <c r="J104" s="35">
        <v>83.20480000000025</v>
      </c>
      <c r="K104" s="35">
        <v>0</v>
      </c>
      <c r="L104" s="35">
        <v>0</v>
      </c>
      <c r="M104" s="1051">
        <f t="shared" si="1"/>
        <v>659.2488000000001</v>
      </c>
    </row>
    <row r="105" spans="1:13" ht="12.75">
      <c r="A105" s="1050" t="s">
        <v>677</v>
      </c>
      <c r="B105" s="514">
        <v>0.4</v>
      </c>
      <c r="C105" s="1021" t="s">
        <v>266</v>
      </c>
      <c r="D105" s="516" t="s">
        <v>229</v>
      </c>
      <c r="E105" s="35">
        <v>99</v>
      </c>
      <c r="F105" s="35">
        <v>174</v>
      </c>
      <c r="G105" s="35">
        <v>273</v>
      </c>
      <c r="H105" s="35">
        <v>237</v>
      </c>
      <c r="I105" s="35">
        <v>178.1489999999994</v>
      </c>
      <c r="J105" s="35">
        <v>164.3400000000006</v>
      </c>
      <c r="K105" s="35">
        <v>33.00300000000061</v>
      </c>
      <c r="L105" s="35">
        <v>20.330999999998767</v>
      </c>
      <c r="M105" s="1051">
        <f t="shared" si="1"/>
        <v>1178.8229999999994</v>
      </c>
    </row>
    <row r="106" spans="1:13" ht="12.75">
      <c r="A106" s="1050" t="s">
        <v>678</v>
      </c>
      <c r="B106" s="514">
        <v>1.775</v>
      </c>
      <c r="C106" s="1021" t="s">
        <v>267</v>
      </c>
      <c r="D106" s="516" t="s">
        <v>229</v>
      </c>
      <c r="E106" s="35">
        <v>30</v>
      </c>
      <c r="F106" s="35">
        <v>507</v>
      </c>
      <c r="G106" s="35">
        <v>684</v>
      </c>
      <c r="H106" s="35">
        <v>475.11599999999953</v>
      </c>
      <c r="I106" s="35">
        <v>368.0010000000011</v>
      </c>
      <c r="J106" s="35">
        <v>124.94099999999979</v>
      </c>
      <c r="K106" s="35">
        <v>0</v>
      </c>
      <c r="L106" s="35">
        <v>0</v>
      </c>
      <c r="M106" s="1051">
        <f aca="true" t="shared" si="2" ref="M106:M137">SUM(E106:L106)</f>
        <v>2189.0580000000004</v>
      </c>
    </row>
    <row r="107" spans="1:13" ht="12.75">
      <c r="A107" s="1050" t="s">
        <v>679</v>
      </c>
      <c r="B107" s="514">
        <v>0.6</v>
      </c>
      <c r="C107" s="1021" t="s">
        <v>268</v>
      </c>
      <c r="D107" s="516" t="s">
        <v>229</v>
      </c>
      <c r="E107" s="35">
        <v>0</v>
      </c>
      <c r="F107" s="35">
        <v>36.67999999999984</v>
      </c>
      <c r="G107" s="35">
        <v>122.32200000000012</v>
      </c>
      <c r="H107" s="35">
        <v>0</v>
      </c>
      <c r="I107" s="35">
        <v>74.03999999999998</v>
      </c>
      <c r="J107" s="35">
        <v>0</v>
      </c>
      <c r="K107" s="35">
        <v>0</v>
      </c>
      <c r="L107" s="35">
        <v>0</v>
      </c>
      <c r="M107" s="1051">
        <f t="shared" si="2"/>
        <v>233.04199999999992</v>
      </c>
    </row>
    <row r="108" spans="1:13" ht="12.75">
      <c r="A108" s="1050" t="s">
        <v>680</v>
      </c>
      <c r="B108" s="514">
        <v>0.4</v>
      </c>
      <c r="C108" s="1021" t="s">
        <v>269</v>
      </c>
      <c r="D108" s="516" t="s">
        <v>229</v>
      </c>
      <c r="E108" s="35">
        <v>176.04</v>
      </c>
      <c r="F108" s="35">
        <v>172.08</v>
      </c>
      <c r="G108" s="35">
        <v>164.16</v>
      </c>
      <c r="H108" s="35">
        <v>244.91732399999992</v>
      </c>
      <c r="I108" s="35">
        <v>258.38168400000006</v>
      </c>
      <c r="J108" s="35">
        <v>246.50419200000005</v>
      </c>
      <c r="K108" s="35">
        <v>180.29976000000002</v>
      </c>
      <c r="L108" s="35">
        <v>165.784152</v>
      </c>
      <c r="M108" s="1051">
        <f t="shared" si="2"/>
        <v>1608.167112</v>
      </c>
    </row>
    <row r="109" spans="1:13" ht="12.75">
      <c r="A109" s="1050" t="s">
        <v>681</v>
      </c>
      <c r="B109" s="1215">
        <v>3.6</v>
      </c>
      <c r="C109" s="1217" t="s">
        <v>572</v>
      </c>
      <c r="D109" s="516" t="s">
        <v>240</v>
      </c>
      <c r="E109" s="35">
        <v>364</v>
      </c>
      <c r="F109" s="35">
        <v>770</v>
      </c>
      <c r="G109" s="35">
        <v>1190</v>
      </c>
      <c r="H109" s="35">
        <v>630</v>
      </c>
      <c r="I109" s="35">
        <v>479.2760000000006</v>
      </c>
      <c r="J109" s="35">
        <v>394.1279999999998</v>
      </c>
      <c r="K109" s="35">
        <v>201.79599999999982</v>
      </c>
      <c r="L109" s="35">
        <v>137.00399999999922</v>
      </c>
      <c r="M109" s="1051">
        <f t="shared" si="2"/>
        <v>4166.204</v>
      </c>
    </row>
    <row r="110" spans="1:13" ht="12.75">
      <c r="A110" s="1050" t="s">
        <v>682</v>
      </c>
      <c r="B110" s="1216"/>
      <c r="C110" s="1218"/>
      <c r="D110" s="516" t="s">
        <v>240</v>
      </c>
      <c r="E110" s="35">
        <v>61.17090000000016</v>
      </c>
      <c r="F110" s="35">
        <v>136.5</v>
      </c>
      <c r="G110" s="35">
        <v>231</v>
      </c>
      <c r="H110" s="35">
        <v>136.5</v>
      </c>
      <c r="I110" s="35">
        <v>112.22505000000021</v>
      </c>
      <c r="J110" s="35">
        <v>96.46140000000005</v>
      </c>
      <c r="K110" s="35">
        <v>42.44519999999986</v>
      </c>
      <c r="L110" s="35">
        <v>19.523699999999934</v>
      </c>
      <c r="M110" s="1051">
        <f t="shared" si="2"/>
        <v>835.8262500000003</v>
      </c>
    </row>
    <row r="111" spans="1:13" ht="12.75">
      <c r="A111" s="1050" t="s">
        <v>683</v>
      </c>
      <c r="B111" s="514">
        <v>2.2</v>
      </c>
      <c r="C111" s="1021" t="s">
        <v>270</v>
      </c>
      <c r="D111" s="516" t="s">
        <v>240</v>
      </c>
      <c r="E111" s="35">
        <v>84.798</v>
      </c>
      <c r="F111" s="35">
        <v>143.064</v>
      </c>
      <c r="G111" s="35">
        <v>362.52</v>
      </c>
      <c r="H111" s="35">
        <v>346.698</v>
      </c>
      <c r="I111" s="35">
        <v>471.761999999997</v>
      </c>
      <c r="J111" s="35">
        <v>350.478</v>
      </c>
      <c r="K111" s="35">
        <v>21.671999999999116</v>
      </c>
      <c r="L111" s="35">
        <v>1.0980000000006385</v>
      </c>
      <c r="M111" s="1051">
        <f t="shared" si="2"/>
        <v>1782.0899999999967</v>
      </c>
    </row>
    <row r="112" spans="1:13" ht="12.75">
      <c r="A112" s="1050" t="s">
        <v>684</v>
      </c>
      <c r="B112" s="514">
        <v>2.4</v>
      </c>
      <c r="C112" s="1021" t="s">
        <v>271</v>
      </c>
      <c r="D112" s="516" t="s">
        <v>229</v>
      </c>
      <c r="E112" s="35">
        <v>144.37200000000007</v>
      </c>
      <c r="F112" s="35">
        <v>339.5680000000002</v>
      </c>
      <c r="G112" s="35">
        <v>322.664</v>
      </c>
      <c r="H112" s="35">
        <v>249.768</v>
      </c>
      <c r="I112" s="35">
        <v>0</v>
      </c>
      <c r="J112" s="35">
        <v>0</v>
      </c>
      <c r="K112" s="35">
        <v>0</v>
      </c>
      <c r="L112" s="35">
        <v>0</v>
      </c>
      <c r="M112" s="1051">
        <f t="shared" si="2"/>
        <v>1056.3720000000003</v>
      </c>
    </row>
    <row r="113" spans="1:13" ht="12.75">
      <c r="A113" s="1050" t="s">
        <v>685</v>
      </c>
      <c r="B113" s="514">
        <v>0.66</v>
      </c>
      <c r="C113" s="504" t="s">
        <v>272</v>
      </c>
      <c r="D113" s="1022" t="s">
        <v>233</v>
      </c>
      <c r="E113" s="35">
        <v>372.36000000000024</v>
      </c>
      <c r="F113" s="35">
        <v>368.64</v>
      </c>
      <c r="G113" s="35">
        <v>391.3199999999993</v>
      </c>
      <c r="H113" s="35">
        <v>346.08000000000067</v>
      </c>
      <c r="I113" s="35">
        <v>356.8799999999996</v>
      </c>
      <c r="J113" s="35">
        <v>357.0227</v>
      </c>
      <c r="K113" s="35">
        <v>351.6915</v>
      </c>
      <c r="L113" s="35">
        <v>341.7323999999999</v>
      </c>
      <c r="M113" s="1051">
        <f t="shared" si="2"/>
        <v>2885.7265999999995</v>
      </c>
    </row>
    <row r="114" spans="1:13" ht="12.75">
      <c r="A114" s="1050" t="s">
        <v>686</v>
      </c>
      <c r="B114" s="514">
        <v>1</v>
      </c>
      <c r="C114" s="504" t="s">
        <v>573</v>
      </c>
      <c r="D114" s="1022" t="s">
        <v>240</v>
      </c>
      <c r="E114" s="35">
        <v>178.2900000000002</v>
      </c>
      <c r="F114" s="35">
        <v>407.8550000000007</v>
      </c>
      <c r="G114" s="35">
        <v>594.7899999999986</v>
      </c>
      <c r="H114" s="35">
        <v>213.3950000000009</v>
      </c>
      <c r="I114" s="35">
        <v>296.34500000000025</v>
      </c>
      <c r="J114" s="35">
        <v>90.44000000000051</v>
      </c>
      <c r="K114" s="35">
        <v>122.14999999999871</v>
      </c>
      <c r="L114" s="35">
        <v>125.93000000000166</v>
      </c>
      <c r="M114" s="1051">
        <f t="shared" si="2"/>
        <v>2029.1950000000015</v>
      </c>
    </row>
    <row r="115" spans="1:13" ht="12.75">
      <c r="A115" s="1050" t="s">
        <v>687</v>
      </c>
      <c r="B115" s="514">
        <v>1.3</v>
      </c>
      <c r="C115" s="1021" t="s">
        <v>273</v>
      </c>
      <c r="D115" s="519" t="s">
        <v>274</v>
      </c>
      <c r="E115" s="35">
        <v>26.76000000000022</v>
      </c>
      <c r="F115" s="35">
        <v>335.0640000000003</v>
      </c>
      <c r="G115" s="35">
        <v>579.5760000000006</v>
      </c>
      <c r="H115" s="35">
        <v>340.8</v>
      </c>
      <c r="I115" s="35">
        <v>373.55999999999915</v>
      </c>
      <c r="J115" s="35">
        <v>86.68799999999973</v>
      </c>
      <c r="K115" s="35">
        <v>0</v>
      </c>
      <c r="L115" s="35">
        <v>0</v>
      </c>
      <c r="M115" s="1051">
        <f t="shared" si="2"/>
        <v>1742.4479999999999</v>
      </c>
    </row>
    <row r="116" spans="1:13" ht="12.75">
      <c r="A116" s="1050" t="s">
        <v>688</v>
      </c>
      <c r="B116" s="514">
        <v>1.08</v>
      </c>
      <c r="C116" s="1217" t="s">
        <v>275</v>
      </c>
      <c r="D116" s="516" t="s">
        <v>240</v>
      </c>
      <c r="E116" s="35">
        <v>2.600000000000364</v>
      </c>
      <c r="F116" s="35">
        <v>141.5</v>
      </c>
      <c r="G116" s="35">
        <v>326.89999999999964</v>
      </c>
      <c r="H116" s="35">
        <v>317.5</v>
      </c>
      <c r="I116" s="35">
        <v>190.80000000000018</v>
      </c>
      <c r="J116" s="35">
        <v>120.5</v>
      </c>
      <c r="K116" s="35">
        <v>0</v>
      </c>
      <c r="L116" s="35">
        <v>0</v>
      </c>
      <c r="M116" s="1051">
        <f t="shared" si="2"/>
        <v>1099.8000000000002</v>
      </c>
    </row>
    <row r="117" spans="1:13" ht="12.75">
      <c r="A117" s="1050" t="s">
        <v>689</v>
      </c>
      <c r="B117" s="514">
        <v>1.174</v>
      </c>
      <c r="C117" s="1218"/>
      <c r="D117" s="516" t="s">
        <v>240</v>
      </c>
      <c r="E117" s="35">
        <v>63.6200000000008</v>
      </c>
      <c r="F117" s="35">
        <v>566</v>
      </c>
      <c r="G117" s="35">
        <v>804</v>
      </c>
      <c r="H117" s="35">
        <v>630.4199999999983</v>
      </c>
      <c r="I117" s="35">
        <v>379.4800000000032</v>
      </c>
      <c r="J117" s="35">
        <v>341.98999999999796</v>
      </c>
      <c r="K117" s="35">
        <v>0</v>
      </c>
      <c r="L117" s="35">
        <v>0</v>
      </c>
      <c r="M117" s="1051">
        <f t="shared" si="2"/>
        <v>2785.51</v>
      </c>
    </row>
    <row r="118" spans="1:13" ht="12.75">
      <c r="A118" s="1050" t="s">
        <v>690</v>
      </c>
      <c r="B118" s="514">
        <v>0.4</v>
      </c>
      <c r="C118" s="504" t="s">
        <v>276</v>
      </c>
      <c r="D118" s="516" t="s">
        <v>229</v>
      </c>
      <c r="E118" s="35">
        <v>32.2</v>
      </c>
      <c r="F118" s="35">
        <v>114</v>
      </c>
      <c r="G118" s="35">
        <v>204</v>
      </c>
      <c r="H118" s="35">
        <v>187.6</v>
      </c>
      <c r="I118" s="35">
        <v>155.09420000000028</v>
      </c>
      <c r="J118" s="35">
        <v>69.2337999999996</v>
      </c>
      <c r="K118" s="35">
        <v>21.535550000000374</v>
      </c>
      <c r="L118" s="35">
        <v>13.83705</v>
      </c>
      <c r="M118" s="1051">
        <f t="shared" si="2"/>
        <v>797.5006000000002</v>
      </c>
    </row>
    <row r="119" spans="1:13" ht="12.75">
      <c r="A119" s="1050" t="s">
        <v>691</v>
      </c>
      <c r="B119" s="514">
        <v>0.13</v>
      </c>
      <c r="C119" s="520" t="s">
        <v>277</v>
      </c>
      <c r="D119" s="516" t="s">
        <v>229</v>
      </c>
      <c r="E119" s="35">
        <v>55</v>
      </c>
      <c r="F119" s="35">
        <v>75.95000000000073</v>
      </c>
      <c r="G119" s="35">
        <v>68</v>
      </c>
      <c r="H119" s="35">
        <v>57</v>
      </c>
      <c r="I119" s="35">
        <v>74.25</v>
      </c>
      <c r="J119" s="35">
        <v>18.290000000000873</v>
      </c>
      <c r="K119" s="35">
        <v>0.4599999999991269</v>
      </c>
      <c r="L119" s="35">
        <v>0</v>
      </c>
      <c r="M119" s="1051">
        <f t="shared" si="2"/>
        <v>348.9500000000007</v>
      </c>
    </row>
    <row r="120" spans="1:13" ht="12.75">
      <c r="A120" s="1050" t="s">
        <v>692</v>
      </c>
      <c r="B120" s="514">
        <v>3.1</v>
      </c>
      <c r="C120" s="1021" t="s">
        <v>278</v>
      </c>
      <c r="D120" s="516" t="s">
        <v>229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1051">
        <f t="shared" si="2"/>
        <v>0</v>
      </c>
    </row>
    <row r="121" spans="1:13" ht="12.75">
      <c r="A121" s="1050" t="s">
        <v>693</v>
      </c>
      <c r="B121" s="514">
        <v>1.072</v>
      </c>
      <c r="C121" s="1219" t="s">
        <v>279</v>
      </c>
      <c r="D121" s="1022" t="s">
        <v>229</v>
      </c>
      <c r="E121" s="35">
        <v>45</v>
      </c>
      <c r="F121" s="35">
        <v>42</v>
      </c>
      <c r="G121" s="35">
        <v>48</v>
      </c>
      <c r="H121" s="35">
        <v>39</v>
      </c>
      <c r="I121" s="35">
        <v>31.86200000000008</v>
      </c>
      <c r="J121" s="35">
        <v>19.09999999999991</v>
      </c>
      <c r="K121" s="35">
        <v>0</v>
      </c>
      <c r="L121" s="35">
        <v>0</v>
      </c>
      <c r="M121" s="1051">
        <f t="shared" si="2"/>
        <v>224.962</v>
      </c>
    </row>
    <row r="122" spans="1:13" ht="12.75">
      <c r="A122" s="1050" t="s">
        <v>694</v>
      </c>
      <c r="B122" s="514">
        <v>1.1</v>
      </c>
      <c r="C122" s="1219"/>
      <c r="D122" s="1022" t="s">
        <v>229</v>
      </c>
      <c r="E122" s="35">
        <v>61.88</v>
      </c>
      <c r="F122" s="35">
        <v>56.12</v>
      </c>
      <c r="G122" s="35">
        <v>64.44</v>
      </c>
      <c r="H122" s="35">
        <v>59.96</v>
      </c>
      <c r="I122" s="35">
        <v>49.52</v>
      </c>
      <c r="J122" s="35">
        <v>35.83199999999953</v>
      </c>
      <c r="K122" s="35">
        <v>0</v>
      </c>
      <c r="L122" s="35">
        <v>0</v>
      </c>
      <c r="M122" s="1051">
        <f t="shared" si="2"/>
        <v>327.75199999999955</v>
      </c>
    </row>
    <row r="123" spans="1:13" ht="12.75">
      <c r="A123" s="1050" t="s">
        <v>695</v>
      </c>
      <c r="B123" s="514">
        <v>0.875</v>
      </c>
      <c r="C123" s="504" t="s">
        <v>280</v>
      </c>
      <c r="D123" s="516" t="s">
        <v>229</v>
      </c>
      <c r="E123" s="35">
        <v>62.4719</v>
      </c>
      <c r="F123" s="35">
        <v>83.0777</v>
      </c>
      <c r="G123" s="35">
        <v>118.30049999999937</v>
      </c>
      <c r="H123" s="35">
        <v>74.272</v>
      </c>
      <c r="I123" s="35">
        <v>45.921400000000176</v>
      </c>
      <c r="J123" s="35">
        <v>23.042100000000573</v>
      </c>
      <c r="K123" s="35">
        <v>0</v>
      </c>
      <c r="L123" s="35">
        <v>0</v>
      </c>
      <c r="M123" s="1051">
        <f t="shared" si="2"/>
        <v>407.0856000000001</v>
      </c>
    </row>
    <row r="124" spans="1:13" ht="12.75">
      <c r="A124" s="1050" t="s">
        <v>696</v>
      </c>
      <c r="B124" s="514">
        <v>0.75</v>
      </c>
      <c r="C124" s="504" t="s">
        <v>281</v>
      </c>
      <c r="D124" s="516" t="s">
        <v>229</v>
      </c>
      <c r="E124" s="35">
        <v>74.08640000000014</v>
      </c>
      <c r="F124" s="35">
        <v>85.93599999999977</v>
      </c>
      <c r="G124" s="35">
        <v>112.15040000000037</v>
      </c>
      <c r="H124" s="35">
        <v>100.47680000000051</v>
      </c>
      <c r="I124" s="35">
        <v>106.39679999999935</v>
      </c>
      <c r="J124" s="35">
        <v>41.60560000000056</v>
      </c>
      <c r="K124" s="35">
        <v>0</v>
      </c>
      <c r="L124" s="35">
        <v>0</v>
      </c>
      <c r="M124" s="1051">
        <f t="shared" si="2"/>
        <v>520.6520000000007</v>
      </c>
    </row>
    <row r="125" spans="1:13" ht="12.75">
      <c r="A125" s="1050" t="s">
        <v>697</v>
      </c>
      <c r="B125" s="514">
        <v>1</v>
      </c>
      <c r="C125" s="504" t="s">
        <v>282</v>
      </c>
      <c r="D125" s="516" t="s">
        <v>233</v>
      </c>
      <c r="E125" s="35">
        <v>90.24888000000006</v>
      </c>
      <c r="F125" s="35">
        <v>170.87927999999997</v>
      </c>
      <c r="G125" s="35">
        <v>187.15151999999998</v>
      </c>
      <c r="H125" s="35">
        <v>173.29091999999997</v>
      </c>
      <c r="I125" s="35">
        <v>157.07040000000003</v>
      </c>
      <c r="J125" s="35">
        <v>0</v>
      </c>
      <c r="K125" s="35">
        <v>0</v>
      </c>
      <c r="L125" s="35">
        <v>0</v>
      </c>
      <c r="M125" s="1051">
        <f t="shared" si="2"/>
        <v>778.6410000000001</v>
      </c>
    </row>
    <row r="126" spans="1:13" ht="12.75">
      <c r="A126" s="1050" t="s">
        <v>698</v>
      </c>
      <c r="B126" s="514">
        <v>2.715</v>
      </c>
      <c r="C126" s="504" t="s">
        <v>283</v>
      </c>
      <c r="D126" s="516" t="s">
        <v>284</v>
      </c>
      <c r="E126" s="35">
        <v>213.06600000000583</v>
      </c>
      <c r="F126" s="35">
        <v>1106.695799999999</v>
      </c>
      <c r="G126" s="35">
        <v>1727.6142</v>
      </c>
      <c r="H126" s="35">
        <v>1087.2455999999997</v>
      </c>
      <c r="I126" s="35">
        <v>624.69959</v>
      </c>
      <c r="J126" s="35">
        <v>448.1609999999997</v>
      </c>
      <c r="K126" s="35">
        <v>138.64619999999988</v>
      </c>
      <c r="L126" s="35">
        <v>62.71020000000017</v>
      </c>
      <c r="M126" s="1051">
        <f t="shared" si="2"/>
        <v>5408.838590000005</v>
      </c>
    </row>
    <row r="127" spans="1:13" ht="12.75">
      <c r="A127" s="1050" t="s">
        <v>699</v>
      </c>
      <c r="B127" s="514">
        <v>1.6</v>
      </c>
      <c r="C127" s="504" t="s">
        <v>285</v>
      </c>
      <c r="D127" s="516" t="s">
        <v>229</v>
      </c>
      <c r="E127" s="35">
        <v>127.78399999999965</v>
      </c>
      <c r="F127" s="35">
        <v>487.0360000000009</v>
      </c>
      <c r="G127" s="35">
        <v>676.977999999999</v>
      </c>
      <c r="H127" s="35">
        <v>746.6100000000006</v>
      </c>
      <c r="I127" s="35">
        <v>713.6119999999991</v>
      </c>
      <c r="J127" s="35">
        <v>233.97000000000025</v>
      </c>
      <c r="K127" s="35">
        <v>34.70400000000017</v>
      </c>
      <c r="L127" s="35">
        <v>0</v>
      </c>
      <c r="M127" s="1051">
        <f t="shared" si="2"/>
        <v>3020.694</v>
      </c>
    </row>
    <row r="128" spans="1:13" ht="12.75">
      <c r="A128" s="1050" t="s">
        <v>700</v>
      </c>
      <c r="B128" s="514">
        <v>0.83</v>
      </c>
      <c r="C128" s="504" t="s">
        <v>286</v>
      </c>
      <c r="D128" s="516" t="s">
        <v>233</v>
      </c>
      <c r="E128" s="35">
        <v>26.416800000000148</v>
      </c>
      <c r="F128" s="35">
        <v>171.14999999999998</v>
      </c>
      <c r="G128" s="35">
        <v>225.1608</v>
      </c>
      <c r="H128" s="35">
        <v>287.4372</v>
      </c>
      <c r="I128" s="35">
        <v>251.628</v>
      </c>
      <c r="J128" s="35">
        <v>30.19200000000003</v>
      </c>
      <c r="K128" s="35">
        <v>0</v>
      </c>
      <c r="L128" s="35">
        <v>0</v>
      </c>
      <c r="M128" s="1051">
        <f t="shared" si="2"/>
        <v>991.9848000000002</v>
      </c>
    </row>
    <row r="129" spans="1:13" ht="12.75">
      <c r="A129" s="1050" t="s">
        <v>701</v>
      </c>
      <c r="B129" s="514">
        <v>8.6</v>
      </c>
      <c r="C129" s="504" t="s">
        <v>287</v>
      </c>
      <c r="D129" s="516" t="s">
        <v>240</v>
      </c>
      <c r="E129" s="35">
        <v>2365.384</v>
      </c>
      <c r="F129" s="35">
        <v>2250.626</v>
      </c>
      <c r="G129" s="35">
        <v>2472.9460000000145</v>
      </c>
      <c r="H129" s="35">
        <v>2233.1119999999974</v>
      </c>
      <c r="I129" s="35">
        <v>1510.25</v>
      </c>
      <c r="J129" s="35">
        <v>534.5200000000041</v>
      </c>
      <c r="K129" s="35">
        <v>257.89400000000387</v>
      </c>
      <c r="L129" s="35">
        <v>334.4179999999833</v>
      </c>
      <c r="M129" s="1051">
        <f t="shared" si="2"/>
        <v>11959.150000000003</v>
      </c>
    </row>
    <row r="130" spans="1:13" ht="12.75">
      <c r="A130" s="1050" t="s">
        <v>702</v>
      </c>
      <c r="B130" s="514">
        <v>10.6</v>
      </c>
      <c r="C130" s="1021" t="s">
        <v>574</v>
      </c>
      <c r="D130" s="516" t="s">
        <v>240</v>
      </c>
      <c r="E130" s="35">
        <v>1163.45</v>
      </c>
      <c r="F130" s="35">
        <v>2732.15</v>
      </c>
      <c r="G130" s="35">
        <v>4276.91</v>
      </c>
      <c r="H130" s="35">
        <v>3721.2</v>
      </c>
      <c r="I130" s="35">
        <v>2534.98</v>
      </c>
      <c r="J130" s="35">
        <v>1244.17</v>
      </c>
      <c r="K130" s="35">
        <v>290.7</v>
      </c>
      <c r="L130" s="35">
        <v>173.22</v>
      </c>
      <c r="M130" s="1051">
        <f t="shared" si="2"/>
        <v>16136.779999999999</v>
      </c>
    </row>
    <row r="131" spans="1:13" ht="12.75">
      <c r="A131" s="1050" t="s">
        <v>703</v>
      </c>
      <c r="B131" s="514">
        <v>2.5</v>
      </c>
      <c r="C131" s="1021" t="s">
        <v>288</v>
      </c>
      <c r="D131" s="516" t="s">
        <v>229</v>
      </c>
      <c r="E131" s="35">
        <v>525</v>
      </c>
      <c r="F131" s="35">
        <v>700</v>
      </c>
      <c r="G131" s="35">
        <v>750</v>
      </c>
      <c r="H131" s="35">
        <v>400</v>
      </c>
      <c r="I131" s="35">
        <v>416.77499999999975</v>
      </c>
      <c r="J131" s="35">
        <v>251.0750000000002</v>
      </c>
      <c r="K131" s="35">
        <v>133.70000000000033</v>
      </c>
      <c r="L131" s="35">
        <v>54.79999999999876</v>
      </c>
      <c r="M131" s="1051">
        <f t="shared" si="2"/>
        <v>3231.349999999999</v>
      </c>
    </row>
    <row r="132" spans="1:13" ht="12.75">
      <c r="A132" s="1050" t="s">
        <v>704</v>
      </c>
      <c r="B132" s="514">
        <v>0.84</v>
      </c>
      <c r="C132" s="1219" t="s">
        <v>289</v>
      </c>
      <c r="D132" s="1022" t="s">
        <v>229</v>
      </c>
      <c r="E132" s="35">
        <v>187.821</v>
      </c>
      <c r="F132" s="35">
        <v>192.873</v>
      </c>
      <c r="G132" s="35">
        <v>302.1990000000005</v>
      </c>
      <c r="H132" s="35">
        <v>257.19</v>
      </c>
      <c r="I132" s="35">
        <v>272.685</v>
      </c>
      <c r="J132" s="35">
        <v>95.44500000000016</v>
      </c>
      <c r="K132" s="35">
        <v>0</v>
      </c>
      <c r="L132" s="35">
        <v>0</v>
      </c>
      <c r="M132" s="1051">
        <f t="shared" si="2"/>
        <v>1308.2130000000006</v>
      </c>
    </row>
    <row r="133" spans="1:13" ht="12.75">
      <c r="A133" s="1050" t="s">
        <v>705</v>
      </c>
      <c r="B133" s="514">
        <v>0.83</v>
      </c>
      <c r="C133" s="1219"/>
      <c r="D133" s="1022" t="s">
        <v>229</v>
      </c>
      <c r="E133" s="35">
        <v>232.89</v>
      </c>
      <c r="F133" s="35">
        <v>272.04</v>
      </c>
      <c r="G133" s="35">
        <v>420.08999999999924</v>
      </c>
      <c r="H133" s="35">
        <v>322.38</v>
      </c>
      <c r="I133" s="35">
        <v>310.65000000000055</v>
      </c>
      <c r="J133" s="35">
        <v>72.41999999999962</v>
      </c>
      <c r="K133" s="35">
        <v>0</v>
      </c>
      <c r="L133" s="35">
        <v>0</v>
      </c>
      <c r="M133" s="1051">
        <f t="shared" si="2"/>
        <v>1630.4699999999993</v>
      </c>
    </row>
    <row r="134" spans="1:13" ht="12.75">
      <c r="A134" s="1050" t="s">
        <v>706</v>
      </c>
      <c r="B134" s="1020">
        <v>1.57</v>
      </c>
      <c r="C134" s="521" t="s">
        <v>290</v>
      </c>
      <c r="D134" s="519" t="s">
        <v>274</v>
      </c>
      <c r="E134" s="35">
        <v>715.443</v>
      </c>
      <c r="F134" s="35">
        <v>802.3679999999997</v>
      </c>
      <c r="G134" s="35">
        <v>867.0270000000007</v>
      </c>
      <c r="H134" s="35">
        <v>773.3579999999995</v>
      </c>
      <c r="I134" s="35">
        <v>694.0679999999993</v>
      </c>
      <c r="J134" s="35">
        <v>618.504000000001</v>
      </c>
      <c r="K134" s="35">
        <v>582.1319999999996</v>
      </c>
      <c r="L134" s="35">
        <v>550.2659999999994</v>
      </c>
      <c r="M134" s="1051">
        <f t="shared" si="2"/>
        <v>5603.165999999999</v>
      </c>
    </row>
    <row r="135" spans="1:13" ht="12.75">
      <c r="A135" s="1050" t="s">
        <v>707</v>
      </c>
      <c r="B135" s="514">
        <v>1.71</v>
      </c>
      <c r="C135" s="504" t="s">
        <v>291</v>
      </c>
      <c r="D135" s="516" t="s">
        <v>233</v>
      </c>
      <c r="E135" s="35">
        <v>255.76109999999986</v>
      </c>
      <c r="F135" s="35">
        <v>543.7908000000002</v>
      </c>
      <c r="G135" s="35">
        <v>498.0401999999991</v>
      </c>
      <c r="H135" s="35">
        <v>364.73220000000003</v>
      </c>
      <c r="I135" s="35">
        <v>285.49710000000005</v>
      </c>
      <c r="J135" s="35">
        <v>58.369500000000635</v>
      </c>
      <c r="K135" s="35">
        <v>0</v>
      </c>
      <c r="L135" s="35">
        <v>0</v>
      </c>
      <c r="M135" s="1051">
        <f t="shared" si="2"/>
        <v>2006.1909</v>
      </c>
    </row>
    <row r="136" spans="1:13" ht="12.75">
      <c r="A136" s="1050" t="s">
        <v>708</v>
      </c>
      <c r="B136" s="514">
        <v>0.5</v>
      </c>
      <c r="C136" s="1021" t="s">
        <v>292</v>
      </c>
      <c r="D136" s="516" t="s">
        <v>229</v>
      </c>
      <c r="E136" s="35">
        <v>15.100000000000021</v>
      </c>
      <c r="F136" s="35">
        <v>92.327</v>
      </c>
      <c r="G136" s="35">
        <v>33.73999999999996</v>
      </c>
      <c r="H136" s="35">
        <v>11.855999999999938</v>
      </c>
      <c r="I136" s="35">
        <v>0</v>
      </c>
      <c r="J136" s="35">
        <v>0</v>
      </c>
      <c r="K136" s="35">
        <v>0</v>
      </c>
      <c r="L136" s="35">
        <v>0</v>
      </c>
      <c r="M136" s="1051">
        <f t="shared" si="2"/>
        <v>153.0229999999999</v>
      </c>
    </row>
    <row r="137" spans="1:13" ht="12.75">
      <c r="A137" s="1050" t="s">
        <v>709</v>
      </c>
      <c r="B137" s="514">
        <v>0.62</v>
      </c>
      <c r="C137" s="1021" t="s">
        <v>293</v>
      </c>
      <c r="D137" s="519" t="s">
        <v>294</v>
      </c>
      <c r="E137" s="35">
        <v>68.51999999999998</v>
      </c>
      <c r="F137" s="35">
        <v>164.54600000000005</v>
      </c>
      <c r="G137" s="35">
        <v>158.86399999999998</v>
      </c>
      <c r="H137" s="35">
        <v>114.858</v>
      </c>
      <c r="I137" s="35">
        <v>116.65999999999997</v>
      </c>
      <c r="J137" s="35">
        <v>69.39400000000012</v>
      </c>
      <c r="K137" s="35">
        <v>0</v>
      </c>
      <c r="L137" s="35">
        <v>0</v>
      </c>
      <c r="M137" s="1051">
        <f t="shared" si="2"/>
        <v>692.8420000000001</v>
      </c>
    </row>
    <row r="138" spans="1:13" ht="12.75">
      <c r="A138" s="1050" t="s">
        <v>710</v>
      </c>
      <c r="B138" s="514">
        <v>3.87</v>
      </c>
      <c r="C138" s="1021" t="s">
        <v>295</v>
      </c>
      <c r="D138" s="516" t="s">
        <v>234</v>
      </c>
      <c r="E138" s="35">
        <v>0</v>
      </c>
      <c r="F138" s="35">
        <v>390.4799999999989</v>
      </c>
      <c r="G138" s="35">
        <v>737.2500000000014</v>
      </c>
      <c r="H138" s="35">
        <v>795.1799999999992</v>
      </c>
      <c r="I138" s="35">
        <v>474.36000000000035</v>
      </c>
      <c r="J138" s="35">
        <v>152.0700000000005</v>
      </c>
      <c r="K138" s="35">
        <v>0</v>
      </c>
      <c r="L138" s="35">
        <v>0</v>
      </c>
      <c r="M138" s="1051">
        <f>SUM(E138:L138)</f>
        <v>2549.34</v>
      </c>
    </row>
    <row r="139" spans="1:13" ht="12.75">
      <c r="A139" s="1050" t="s">
        <v>711</v>
      </c>
      <c r="B139" s="514">
        <v>1.95</v>
      </c>
      <c r="C139" s="1219" t="s">
        <v>207</v>
      </c>
      <c r="D139" s="522" t="s">
        <v>260</v>
      </c>
      <c r="E139" s="1202">
        <v>38.40735999999969</v>
      </c>
      <c r="F139" s="1202">
        <v>1025.5926400000003</v>
      </c>
      <c r="G139" s="1202">
        <v>1246.4</v>
      </c>
      <c r="H139" s="1202">
        <v>953.8866399999989</v>
      </c>
      <c r="I139" s="1202">
        <v>523.2736799999993</v>
      </c>
      <c r="J139" s="1202">
        <v>105.28128000000088</v>
      </c>
      <c r="K139" s="1202">
        <v>0</v>
      </c>
      <c r="L139" s="1202">
        <v>0</v>
      </c>
      <c r="M139" s="1201">
        <f>SUM(E139:L139)</f>
        <v>3892.8415999999993</v>
      </c>
    </row>
    <row r="140" spans="1:13" ht="12.75">
      <c r="A140" s="1050" t="s">
        <v>712</v>
      </c>
      <c r="B140" s="514">
        <v>2.3</v>
      </c>
      <c r="C140" s="1219"/>
      <c r="D140" s="522" t="s">
        <v>260</v>
      </c>
      <c r="E140" s="1203"/>
      <c r="F140" s="1203"/>
      <c r="G140" s="1203"/>
      <c r="H140" s="1203"/>
      <c r="I140" s="1203"/>
      <c r="J140" s="1203"/>
      <c r="K140" s="1203"/>
      <c r="L140" s="1203"/>
      <c r="M140" s="1201"/>
    </row>
    <row r="141" spans="1:13" ht="12.75">
      <c r="A141" s="1050" t="s">
        <v>713</v>
      </c>
      <c r="B141" s="514">
        <v>0.25</v>
      </c>
      <c r="C141" s="1219"/>
      <c r="D141" s="522" t="s">
        <v>260</v>
      </c>
      <c r="E141" s="1204"/>
      <c r="F141" s="1204"/>
      <c r="G141" s="1204"/>
      <c r="H141" s="1204"/>
      <c r="I141" s="1204"/>
      <c r="J141" s="1204"/>
      <c r="K141" s="1204"/>
      <c r="L141" s="1204"/>
      <c r="M141" s="1201"/>
    </row>
    <row r="142" spans="1:13" ht="12.75">
      <c r="A142" s="1050" t="s">
        <v>714</v>
      </c>
      <c r="B142" s="514">
        <v>3.408</v>
      </c>
      <c r="C142" s="1021" t="s">
        <v>296</v>
      </c>
      <c r="D142" s="516" t="s">
        <v>260</v>
      </c>
      <c r="E142" s="35">
        <v>189.301</v>
      </c>
      <c r="F142" s="35">
        <v>258.57650000000007</v>
      </c>
      <c r="G142" s="35">
        <v>276.69599999999974</v>
      </c>
      <c r="H142" s="35">
        <v>185.13950000000037</v>
      </c>
      <c r="I142" s="35">
        <v>136.2094999999997</v>
      </c>
      <c r="J142" s="35">
        <v>90.1635000000003</v>
      </c>
      <c r="K142" s="35">
        <v>55.961499999999724</v>
      </c>
      <c r="L142" s="35">
        <v>11.361000000000331</v>
      </c>
      <c r="M142" s="1055">
        <f aca="true" t="shared" si="3" ref="M142:M149">SUM(E142:L142)</f>
        <v>1203.4085</v>
      </c>
    </row>
    <row r="143" spans="1:13" ht="12.75">
      <c r="A143" s="1050" t="s">
        <v>575</v>
      </c>
      <c r="B143" s="514">
        <v>5.349</v>
      </c>
      <c r="C143" s="1019" t="s">
        <v>206</v>
      </c>
      <c r="D143" s="516" t="s">
        <v>260</v>
      </c>
      <c r="E143" s="35">
        <v>69.7095000000001</v>
      </c>
      <c r="F143" s="35">
        <v>534.3660000000006</v>
      </c>
      <c r="G143" s="35">
        <v>1676.4195</v>
      </c>
      <c r="H143" s="35">
        <v>2001.615</v>
      </c>
      <c r="I143" s="35">
        <v>1556.3730000000012</v>
      </c>
      <c r="J143" s="35">
        <v>833.216999999998</v>
      </c>
      <c r="K143" s="35">
        <v>414.9599999999998</v>
      </c>
      <c r="L143" s="35">
        <v>246.666000000002</v>
      </c>
      <c r="M143" s="1055">
        <f t="shared" si="3"/>
        <v>7333.326000000002</v>
      </c>
    </row>
    <row r="144" spans="1:13" ht="12.75">
      <c r="A144" s="1050" t="s">
        <v>715</v>
      </c>
      <c r="B144" s="514">
        <v>2.5</v>
      </c>
      <c r="C144" s="1021" t="s">
        <v>297</v>
      </c>
      <c r="D144" s="519" t="s">
        <v>260</v>
      </c>
      <c r="E144" s="35">
        <v>144.2945000000003</v>
      </c>
      <c r="F144" s="35">
        <v>443.9399999999999</v>
      </c>
      <c r="G144" s="35">
        <v>642.824</v>
      </c>
      <c r="H144" s="35">
        <v>341.4145000000005</v>
      </c>
      <c r="I144" s="35">
        <v>347.8299999999996</v>
      </c>
      <c r="J144" s="35">
        <v>110.02249999999961</v>
      </c>
      <c r="K144" s="35">
        <v>1.2390000000003454</v>
      </c>
      <c r="L144" s="35">
        <v>0</v>
      </c>
      <c r="M144" s="1055">
        <f t="shared" si="3"/>
        <v>2031.5645000000002</v>
      </c>
    </row>
    <row r="145" spans="1:13" ht="12.75">
      <c r="A145" s="1050" t="s">
        <v>716</v>
      </c>
      <c r="B145" s="514">
        <v>1.36</v>
      </c>
      <c r="C145" s="1021" t="s">
        <v>298</v>
      </c>
      <c r="D145" s="519" t="s">
        <v>260</v>
      </c>
      <c r="E145" s="35">
        <v>18.283999999999963</v>
      </c>
      <c r="F145" s="35">
        <v>20.713000000000022</v>
      </c>
      <c r="G145" s="35">
        <v>44.555000000000064</v>
      </c>
      <c r="H145" s="35">
        <v>45.450999999999965</v>
      </c>
      <c r="I145" s="35">
        <v>50.792</v>
      </c>
      <c r="J145" s="35">
        <v>26.80999999999989</v>
      </c>
      <c r="K145" s="35">
        <v>0</v>
      </c>
      <c r="L145" s="35">
        <v>0</v>
      </c>
      <c r="M145" s="1055">
        <f t="shared" si="3"/>
        <v>206.6049999999999</v>
      </c>
    </row>
    <row r="146" spans="1:13" ht="12.75">
      <c r="A146" s="1050" t="s">
        <v>717</v>
      </c>
      <c r="B146" s="514">
        <v>1.3</v>
      </c>
      <c r="C146" s="1021" t="s">
        <v>299</v>
      </c>
      <c r="D146" s="523" t="s">
        <v>294</v>
      </c>
      <c r="E146" s="35">
        <v>125.312</v>
      </c>
      <c r="F146" s="35">
        <v>199.38400000000013</v>
      </c>
      <c r="G146" s="35">
        <v>333.46399999999994</v>
      </c>
      <c r="H146" s="35">
        <v>108.68799999999989</v>
      </c>
      <c r="I146" s="35">
        <v>8.772000000000162</v>
      </c>
      <c r="J146" s="35">
        <v>1.375999999999749</v>
      </c>
      <c r="K146" s="35">
        <v>0</v>
      </c>
      <c r="L146" s="35">
        <v>0</v>
      </c>
      <c r="M146" s="1055">
        <f t="shared" si="3"/>
        <v>776.9959999999999</v>
      </c>
    </row>
    <row r="147" spans="1:13" ht="12.75">
      <c r="A147" s="1050" t="s">
        <v>718</v>
      </c>
      <c r="B147" s="514">
        <v>1.9</v>
      </c>
      <c r="C147" s="1021" t="s">
        <v>208</v>
      </c>
      <c r="D147" s="523" t="s">
        <v>260</v>
      </c>
      <c r="E147" s="35">
        <v>0</v>
      </c>
      <c r="F147" s="35">
        <v>283.6679999999999</v>
      </c>
      <c r="G147" s="35">
        <v>493.542</v>
      </c>
      <c r="H147" s="35">
        <v>334.6139999999999</v>
      </c>
      <c r="I147" s="35">
        <v>171.29700000000008</v>
      </c>
      <c r="J147" s="35">
        <v>37.233</v>
      </c>
      <c r="K147" s="35">
        <v>0</v>
      </c>
      <c r="L147" s="35">
        <v>0</v>
      </c>
      <c r="M147" s="1055">
        <f t="shared" si="3"/>
        <v>1320.3539999999996</v>
      </c>
    </row>
    <row r="148" spans="1:13" ht="12.75">
      <c r="A148" s="1056" t="s">
        <v>576</v>
      </c>
      <c r="B148" s="524">
        <v>2.213</v>
      </c>
      <c r="C148" s="525" t="s">
        <v>300</v>
      </c>
      <c r="D148" s="526" t="s">
        <v>260</v>
      </c>
      <c r="E148" s="35">
        <v>0</v>
      </c>
      <c r="F148" s="35">
        <v>250.159</v>
      </c>
      <c r="G148" s="35">
        <v>413.6825</v>
      </c>
      <c r="H148" s="35">
        <v>345.97149999999993</v>
      </c>
      <c r="I148" s="35">
        <v>253.13050000000013</v>
      </c>
      <c r="J148" s="35">
        <v>98.96949999999975</v>
      </c>
      <c r="K148" s="35">
        <v>0</v>
      </c>
      <c r="L148" s="35">
        <v>0</v>
      </c>
      <c r="M148" s="1057">
        <f t="shared" si="3"/>
        <v>1361.9129999999998</v>
      </c>
    </row>
    <row r="149" spans="1:13" ht="13.5" thickBot="1">
      <c r="A149" s="1053" t="s">
        <v>577</v>
      </c>
      <c r="B149" s="527"/>
      <c r="C149" s="528" t="s">
        <v>300</v>
      </c>
      <c r="D149" s="529"/>
      <c r="E149" s="35">
        <v>0</v>
      </c>
      <c r="F149" s="35">
        <v>0</v>
      </c>
      <c r="G149" s="35">
        <v>0</v>
      </c>
      <c r="H149" s="35">
        <v>109.211</v>
      </c>
      <c r="I149" s="35">
        <v>90.321</v>
      </c>
      <c r="J149" s="35">
        <v>80.94799999999996</v>
      </c>
      <c r="K149" s="35">
        <v>53.6235</v>
      </c>
      <c r="L149" s="35">
        <v>0</v>
      </c>
      <c r="M149" s="1058">
        <f t="shared" si="3"/>
        <v>334.10349999999994</v>
      </c>
    </row>
    <row r="150" spans="1:13" ht="13.5" thickBot="1">
      <c r="A150" s="1059"/>
      <c r="B150" s="91"/>
      <c r="C150" s="530"/>
      <c r="D150" s="531"/>
      <c r="E150" s="517">
        <f aca="true" t="shared" si="4" ref="E150:L150">SUM(E43:E149)</f>
        <v>22495.15363500001</v>
      </c>
      <c r="F150" s="517">
        <f t="shared" si="4"/>
        <v>49049.668037000025</v>
      </c>
      <c r="G150" s="517">
        <f t="shared" si="4"/>
        <v>73302.37179400002</v>
      </c>
      <c r="H150" s="517">
        <f t="shared" si="4"/>
        <v>59926.636029999994</v>
      </c>
      <c r="I150" s="517">
        <f t="shared" si="4"/>
        <v>51480.67484</v>
      </c>
      <c r="J150" s="517">
        <f t="shared" si="4"/>
        <v>26088.428483000003</v>
      </c>
      <c r="K150" s="517">
        <f t="shared" si="4"/>
        <v>9062.391208999976</v>
      </c>
      <c r="L150" s="517">
        <f t="shared" si="4"/>
        <v>5296.069262999995</v>
      </c>
      <c r="M150" s="52">
        <f>SUM(M42:M149)</f>
        <v>318843.26623099996</v>
      </c>
    </row>
    <row r="151" spans="1:13" ht="13.5" thickBot="1">
      <c r="A151" s="1060" t="s">
        <v>301</v>
      </c>
      <c r="B151" s="1061">
        <v>1</v>
      </c>
      <c r="C151" s="1062" t="s">
        <v>86</v>
      </c>
      <c r="D151" s="1063"/>
      <c r="E151" s="1064"/>
      <c r="F151" s="1064"/>
      <c r="G151" s="1064"/>
      <c r="H151" s="1064"/>
      <c r="I151" s="1064"/>
      <c r="J151" s="1064"/>
      <c r="K151" s="1064"/>
      <c r="L151" s="1064"/>
      <c r="M151" s="1065"/>
    </row>
    <row r="152" ht="13.5" thickBot="1">
      <c r="M152" s="1046">
        <f>M39+M150</f>
        <v>3343952.3919676207</v>
      </c>
    </row>
    <row r="154" spans="10:12" ht="12.75">
      <c r="J154" s="1102" t="s">
        <v>444</v>
      </c>
      <c r="K154" s="1102"/>
      <c r="L154" s="1102"/>
    </row>
  </sheetData>
  <sheetProtection/>
  <mergeCells count="81">
    <mergeCell ref="A1:M1"/>
    <mergeCell ref="C3:C5"/>
    <mergeCell ref="C7:C10"/>
    <mergeCell ref="E7:E10"/>
    <mergeCell ref="F7:F10"/>
    <mergeCell ref="G7:G10"/>
    <mergeCell ref="H7:H10"/>
    <mergeCell ref="I7:I10"/>
    <mergeCell ref="J7:J10"/>
    <mergeCell ref="K7:K10"/>
    <mergeCell ref="L7:L10"/>
    <mergeCell ref="C17:C18"/>
    <mergeCell ref="B20:B24"/>
    <mergeCell ref="C20:C21"/>
    <mergeCell ref="D20:D24"/>
    <mergeCell ref="E20:E24"/>
    <mergeCell ref="J15:J16"/>
    <mergeCell ref="K15:K16"/>
    <mergeCell ref="L15:L16"/>
    <mergeCell ref="G20:G24"/>
    <mergeCell ref="H20:H24"/>
    <mergeCell ref="I20:I24"/>
    <mergeCell ref="J20:J24"/>
    <mergeCell ref="E15:E16"/>
    <mergeCell ref="F15:F16"/>
    <mergeCell ref="G15:G16"/>
    <mergeCell ref="H15:H16"/>
    <mergeCell ref="I15:I16"/>
    <mergeCell ref="M20:M24"/>
    <mergeCell ref="C22:C23"/>
    <mergeCell ref="M25:M29"/>
    <mergeCell ref="H25:H29"/>
    <mergeCell ref="I25:I29"/>
    <mergeCell ref="J25:J29"/>
    <mergeCell ref="K25:K29"/>
    <mergeCell ref="L25:L29"/>
    <mergeCell ref="C25:C29"/>
    <mergeCell ref="D25:D29"/>
    <mergeCell ref="E25:E29"/>
    <mergeCell ref="F25:F29"/>
    <mergeCell ref="G25:G29"/>
    <mergeCell ref="K20:K24"/>
    <mergeCell ref="L20:L24"/>
    <mergeCell ref="F20:F24"/>
    <mergeCell ref="C121:C122"/>
    <mergeCell ref="C132:C133"/>
    <mergeCell ref="C139:C141"/>
    <mergeCell ref="E139:E141"/>
    <mergeCell ref="C87:C88"/>
    <mergeCell ref="C91:C92"/>
    <mergeCell ref="C102:C104"/>
    <mergeCell ref="L34:L36"/>
    <mergeCell ref="B109:B110"/>
    <mergeCell ref="C109:C110"/>
    <mergeCell ref="C116:C117"/>
    <mergeCell ref="C43:C44"/>
    <mergeCell ref="C46:C67"/>
    <mergeCell ref="C71:C72"/>
    <mergeCell ref="C77:C78"/>
    <mergeCell ref="K34:K36"/>
    <mergeCell ref="F139:F141"/>
    <mergeCell ref="G139:G141"/>
    <mergeCell ref="H139:H141"/>
    <mergeCell ref="I139:I141"/>
    <mergeCell ref="J139:J141"/>
    <mergeCell ref="J154:L154"/>
    <mergeCell ref="M15:M16"/>
    <mergeCell ref="M7:M10"/>
    <mergeCell ref="M34:M36"/>
    <mergeCell ref="M139:M141"/>
    <mergeCell ref="K139:K141"/>
    <mergeCell ref="L139:L141"/>
    <mergeCell ref="A40:M40"/>
    <mergeCell ref="B34:B36"/>
    <mergeCell ref="C34:C36"/>
    <mergeCell ref="E34:E36"/>
    <mergeCell ref="F34:F36"/>
    <mergeCell ref="G34:G36"/>
    <mergeCell ref="H34:H36"/>
    <mergeCell ref="I34:I36"/>
    <mergeCell ref="J34:J36"/>
  </mergeCells>
  <printOptions/>
  <pageMargins left="0.25" right="0.25" top="0.75" bottom="0.75" header="0.3" footer="0.3"/>
  <pageSetup orientation="landscape" scale="67" r:id="rId1"/>
  <rowBreaks count="1" manualBreakCount="1">
    <brk id="3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39">
      <selection activeCell="Q26" sqref="Q26"/>
    </sheetView>
  </sheetViews>
  <sheetFormatPr defaultColWidth="8.8515625" defaultRowHeight="15"/>
  <cols>
    <col min="1" max="1" width="18.421875" style="1" customWidth="1"/>
    <col min="2" max="13" width="8.7109375" style="1" customWidth="1"/>
    <col min="14" max="16384" width="8.8515625" style="1" customWidth="1"/>
  </cols>
  <sheetData>
    <row r="1" spans="1:16" ht="12.75">
      <c r="A1" s="859"/>
      <c r="B1" s="1245" t="s">
        <v>732</v>
      </c>
      <c r="C1" s="1245"/>
      <c r="D1" s="1245"/>
      <c r="E1" s="1245"/>
      <c r="F1" s="1245"/>
      <c r="G1" s="1245"/>
      <c r="H1" s="1245"/>
      <c r="I1" s="1245"/>
      <c r="J1" s="1245"/>
      <c r="K1" s="1245"/>
      <c r="L1" s="1245"/>
      <c r="M1" s="1246"/>
      <c r="N1" s="855"/>
      <c r="O1" s="855"/>
      <c r="P1" s="855"/>
    </row>
    <row r="2" spans="1:14" ht="21.75" customHeight="1" thickBot="1">
      <c r="A2" s="998"/>
      <c r="B2" s="999" t="s">
        <v>496</v>
      </c>
      <c r="C2" s="999" t="s">
        <v>497</v>
      </c>
      <c r="D2" s="999" t="s">
        <v>498</v>
      </c>
      <c r="E2" s="999" t="s">
        <v>499</v>
      </c>
      <c r="F2" s="999" t="s">
        <v>93</v>
      </c>
      <c r="G2" s="999" t="s">
        <v>500</v>
      </c>
      <c r="H2" s="999" t="s">
        <v>501</v>
      </c>
      <c r="I2" s="999" t="s">
        <v>502</v>
      </c>
      <c r="J2" s="999" t="s">
        <v>567</v>
      </c>
      <c r="K2" s="999" t="s">
        <v>733</v>
      </c>
      <c r="L2" s="999" t="s">
        <v>734</v>
      </c>
      <c r="M2" s="999" t="s">
        <v>735</v>
      </c>
      <c r="N2" s="851"/>
    </row>
    <row r="3" spans="1:13" ht="12.75">
      <c r="A3" s="1000">
        <v>1991</v>
      </c>
      <c r="B3" s="873">
        <v>254.43</v>
      </c>
      <c r="C3" s="874">
        <v>260.76</v>
      </c>
      <c r="D3" s="874">
        <v>268.56</v>
      </c>
      <c r="E3" s="874">
        <v>279.85</v>
      </c>
      <c r="F3" s="874">
        <v>293.36</v>
      </c>
      <c r="G3" s="874">
        <v>296.14</v>
      </c>
      <c r="H3" s="874">
        <v>294.03</v>
      </c>
      <c r="I3" s="874">
        <v>291.46</v>
      </c>
      <c r="J3" s="874">
        <v>289.44</v>
      </c>
      <c r="K3" s="874">
        <v>288.32</v>
      </c>
      <c r="L3" s="874">
        <v>288.82</v>
      </c>
      <c r="M3" s="875">
        <v>285.05</v>
      </c>
    </row>
    <row r="4" spans="1:13" ht="12.75">
      <c r="A4" s="1001">
        <v>1992</v>
      </c>
      <c r="B4" s="873">
        <v>277.95</v>
      </c>
      <c r="C4" s="874">
        <v>274.12</v>
      </c>
      <c r="D4" s="874">
        <v>267.96</v>
      </c>
      <c r="E4" s="874">
        <v>278.84</v>
      </c>
      <c r="F4" s="874">
        <v>280.98</v>
      </c>
      <c r="G4" s="874">
        <v>279.55</v>
      </c>
      <c r="H4" s="874">
        <v>275.23</v>
      </c>
      <c r="I4" s="874">
        <v>268.71</v>
      </c>
      <c r="J4" s="874">
        <v>263.86</v>
      </c>
      <c r="K4" s="874">
        <v>271.38</v>
      </c>
      <c r="L4" s="874">
        <v>281.93</v>
      </c>
      <c r="M4" s="875">
        <v>280.6</v>
      </c>
    </row>
    <row r="5" spans="1:13" ht="12.75">
      <c r="A5" s="1001">
        <v>1993</v>
      </c>
      <c r="B5" s="873">
        <v>275.19</v>
      </c>
      <c r="C5" s="874">
        <v>265.32</v>
      </c>
      <c r="D5" s="874">
        <v>264.69</v>
      </c>
      <c r="E5" s="874">
        <v>278.53</v>
      </c>
      <c r="F5" s="874">
        <v>280.47</v>
      </c>
      <c r="G5" s="874">
        <v>277.3</v>
      </c>
      <c r="H5" s="874">
        <v>271.04</v>
      </c>
      <c r="I5" s="876">
        <v>261.05</v>
      </c>
      <c r="J5" s="876">
        <v>253.56</v>
      </c>
      <c r="K5" s="874">
        <v>249.94</v>
      </c>
      <c r="L5" s="874">
        <v>255.55</v>
      </c>
      <c r="M5" s="875">
        <v>270.2</v>
      </c>
    </row>
    <row r="6" spans="1:13" ht="12.75">
      <c r="A6" s="1002">
        <v>1994</v>
      </c>
      <c r="B6" s="873">
        <v>254.43</v>
      </c>
      <c r="C6" s="874">
        <v>260.76</v>
      </c>
      <c r="D6" s="874">
        <v>268.56</v>
      </c>
      <c r="E6" s="874">
        <v>279.85</v>
      </c>
      <c r="F6" s="874">
        <v>293.36</v>
      </c>
      <c r="G6" s="874">
        <v>296.14</v>
      </c>
      <c r="H6" s="874">
        <v>294.03</v>
      </c>
      <c r="I6" s="877">
        <v>291.46</v>
      </c>
      <c r="J6" s="877">
        <v>289.44</v>
      </c>
      <c r="K6" s="877">
        <v>288.32</v>
      </c>
      <c r="L6" s="874">
        <v>288.82</v>
      </c>
      <c r="M6" s="875">
        <v>285.05</v>
      </c>
    </row>
    <row r="7" spans="1:13" ht="12.75">
      <c r="A7" s="1001">
        <v>1995</v>
      </c>
      <c r="B7" s="873">
        <v>253.83</v>
      </c>
      <c r="C7" s="874">
        <v>260.25</v>
      </c>
      <c r="D7" s="874">
        <v>262.5</v>
      </c>
      <c r="E7" s="874">
        <v>275.29</v>
      </c>
      <c r="F7" s="874">
        <v>288.98</v>
      </c>
      <c r="G7" s="874">
        <v>288.71</v>
      </c>
      <c r="H7" s="874">
        <v>284.54</v>
      </c>
      <c r="I7" s="874">
        <v>282.15</v>
      </c>
      <c r="J7" s="874">
        <v>288.2</v>
      </c>
      <c r="K7" s="874">
        <v>283.84</v>
      </c>
      <c r="L7" s="874">
        <v>279.89</v>
      </c>
      <c r="M7" s="875">
        <v>287.49</v>
      </c>
    </row>
    <row r="8" spans="1:13" ht="12.75">
      <c r="A8" s="1001">
        <v>1996</v>
      </c>
      <c r="B8" s="873">
        <v>287.1</v>
      </c>
      <c r="C8" s="874">
        <v>288.67</v>
      </c>
      <c r="D8" s="874">
        <v>286.5</v>
      </c>
      <c r="E8" s="874">
        <v>294.65</v>
      </c>
      <c r="F8" s="874">
        <v>295.76</v>
      </c>
      <c r="G8" s="874">
        <v>293.1</v>
      </c>
      <c r="H8" s="874">
        <v>287.6</v>
      </c>
      <c r="I8" s="874">
        <v>282.17</v>
      </c>
      <c r="J8" s="874">
        <v>285.08</v>
      </c>
      <c r="K8" s="874">
        <v>284.26</v>
      </c>
      <c r="L8" s="877">
        <v>289.18</v>
      </c>
      <c r="M8" s="875">
        <v>291.25</v>
      </c>
    </row>
    <row r="9" spans="1:13" ht="12.75">
      <c r="A9" s="1002">
        <v>1997</v>
      </c>
      <c r="B9" s="873">
        <v>289.35</v>
      </c>
      <c r="C9" s="874">
        <v>284.51</v>
      </c>
      <c r="D9" s="874">
        <v>281.73</v>
      </c>
      <c r="E9" s="874">
        <v>285.22</v>
      </c>
      <c r="F9" s="874">
        <v>294.11</v>
      </c>
      <c r="G9" s="874">
        <v>291.96</v>
      </c>
      <c r="H9" s="874">
        <v>286.99</v>
      </c>
      <c r="I9" s="874">
        <v>280.02</v>
      </c>
      <c r="J9" s="874">
        <v>272.87</v>
      </c>
      <c r="K9" s="874">
        <v>272.41</v>
      </c>
      <c r="L9" s="874">
        <v>270.77</v>
      </c>
      <c r="M9" s="875">
        <v>277.16</v>
      </c>
    </row>
    <row r="10" spans="1:13" ht="12.75">
      <c r="A10" s="1001">
        <v>1998</v>
      </c>
      <c r="B10" s="874">
        <v>273.68</v>
      </c>
      <c r="C10" s="874">
        <v>270</v>
      </c>
      <c r="D10" s="874">
        <v>265.2</v>
      </c>
      <c r="E10" s="874">
        <v>278.9</v>
      </c>
      <c r="F10" s="874">
        <v>288.11</v>
      </c>
      <c r="G10" s="874">
        <v>287.4</v>
      </c>
      <c r="H10" s="874">
        <v>281.83</v>
      </c>
      <c r="I10" s="874">
        <v>277.58</v>
      </c>
      <c r="J10" s="874">
        <v>276.04</v>
      </c>
      <c r="K10" s="874">
        <v>277.1</v>
      </c>
      <c r="L10" s="874">
        <v>279.04</v>
      </c>
      <c r="M10" s="875">
        <v>277.05</v>
      </c>
    </row>
    <row r="11" spans="1:13" ht="12.75">
      <c r="A11" s="1001">
        <v>1999</v>
      </c>
      <c r="B11" s="874">
        <v>272.68</v>
      </c>
      <c r="C11" s="874">
        <v>275.64</v>
      </c>
      <c r="D11" s="874">
        <v>281.54</v>
      </c>
      <c r="E11" s="874">
        <v>290.47</v>
      </c>
      <c r="F11" s="874">
        <v>295.87</v>
      </c>
      <c r="G11" s="874">
        <v>293.33</v>
      </c>
      <c r="H11" s="874">
        <v>288.34</v>
      </c>
      <c r="I11" s="874">
        <v>279.5</v>
      </c>
      <c r="J11" s="874">
        <v>271.02</v>
      </c>
      <c r="K11" s="874">
        <v>257.6</v>
      </c>
      <c r="L11" s="874">
        <v>263.58</v>
      </c>
      <c r="M11" s="875">
        <v>276.9</v>
      </c>
    </row>
    <row r="12" spans="1:13" ht="12.75">
      <c r="A12" s="1002">
        <v>2000</v>
      </c>
      <c r="B12" s="874">
        <v>276.35</v>
      </c>
      <c r="C12" s="874">
        <v>276.73</v>
      </c>
      <c r="D12" s="874">
        <v>276.81</v>
      </c>
      <c r="E12" s="874">
        <v>286.89</v>
      </c>
      <c r="F12" s="874">
        <v>286.6</v>
      </c>
      <c r="G12" s="874">
        <v>280.05</v>
      </c>
      <c r="H12" s="874">
        <v>273.52</v>
      </c>
      <c r="I12" s="874">
        <v>267.5</v>
      </c>
      <c r="J12" s="874">
        <v>261.62</v>
      </c>
      <c r="K12" s="876">
        <v>248.4</v>
      </c>
      <c r="L12" s="876">
        <v>249.25</v>
      </c>
      <c r="M12" s="878">
        <v>252.12</v>
      </c>
    </row>
    <row r="13" spans="1:13" ht="12.75">
      <c r="A13" s="1001">
        <v>2001</v>
      </c>
      <c r="B13" s="874">
        <v>253.6</v>
      </c>
      <c r="C13" s="879">
        <v>258.17</v>
      </c>
      <c r="D13" s="874">
        <v>275.13</v>
      </c>
      <c r="E13" s="874">
        <v>282.85</v>
      </c>
      <c r="F13" s="874">
        <v>287.6</v>
      </c>
      <c r="G13" s="874">
        <v>283.83</v>
      </c>
      <c r="H13" s="874">
        <v>273.73</v>
      </c>
      <c r="I13" s="874">
        <v>271.07</v>
      </c>
      <c r="J13" s="874">
        <v>269.17</v>
      </c>
      <c r="K13" s="874">
        <v>263.62</v>
      </c>
      <c r="L13" s="874">
        <v>263.24</v>
      </c>
      <c r="M13" s="875">
        <v>252.1</v>
      </c>
    </row>
    <row r="14" spans="1:13" ht="12.75">
      <c r="A14" s="1001">
        <v>2002</v>
      </c>
      <c r="B14" s="876">
        <v>245.3</v>
      </c>
      <c r="C14" s="876">
        <v>247.1</v>
      </c>
      <c r="D14" s="876">
        <v>252.6</v>
      </c>
      <c r="E14" s="876">
        <v>264.03</v>
      </c>
      <c r="F14" s="876">
        <v>268.6</v>
      </c>
      <c r="G14" s="876">
        <v>271.26</v>
      </c>
      <c r="H14" s="876">
        <v>270.08</v>
      </c>
      <c r="I14" s="874">
        <v>267.8</v>
      </c>
      <c r="J14" s="874">
        <v>274.28</v>
      </c>
      <c r="K14" s="874">
        <v>286.05</v>
      </c>
      <c r="L14" s="874">
        <v>285.34</v>
      </c>
      <c r="M14" s="875">
        <v>284</v>
      </c>
    </row>
    <row r="15" spans="1:13" ht="12.75">
      <c r="A15" s="1002">
        <v>2003</v>
      </c>
      <c r="B15" s="877">
        <v>291.1</v>
      </c>
      <c r="C15" s="874">
        <v>289.5</v>
      </c>
      <c r="D15" s="874">
        <v>286.25</v>
      </c>
      <c r="E15" s="874">
        <v>287</v>
      </c>
      <c r="F15" s="874">
        <v>292.27</v>
      </c>
      <c r="G15" s="874">
        <v>290.26</v>
      </c>
      <c r="H15" s="874">
        <v>285.9</v>
      </c>
      <c r="I15" s="874">
        <v>280.77</v>
      </c>
      <c r="J15" s="874">
        <v>275.95</v>
      </c>
      <c r="K15" s="874">
        <v>282.63</v>
      </c>
      <c r="L15" s="874">
        <v>285.6</v>
      </c>
      <c r="M15" s="875">
        <v>283.28</v>
      </c>
    </row>
    <row r="16" spans="1:13" ht="12.75">
      <c r="A16" s="1001">
        <v>2004</v>
      </c>
      <c r="B16" s="874">
        <v>284.7</v>
      </c>
      <c r="C16" s="879">
        <v>290.8</v>
      </c>
      <c r="D16" s="874">
        <v>293.4</v>
      </c>
      <c r="E16" s="874">
        <v>296.03</v>
      </c>
      <c r="F16" s="874">
        <v>296.2</v>
      </c>
      <c r="G16" s="877">
        <v>296.16</v>
      </c>
      <c r="H16" s="874">
        <v>293.08</v>
      </c>
      <c r="I16" s="874">
        <v>286.25</v>
      </c>
      <c r="J16" s="874">
        <v>281.08</v>
      </c>
      <c r="K16" s="874">
        <v>280.01</v>
      </c>
      <c r="L16" s="874">
        <v>286.11</v>
      </c>
      <c r="M16" s="880">
        <v>288.04</v>
      </c>
    </row>
    <row r="17" spans="1:13" ht="12.75">
      <c r="A17" s="1001">
        <v>2005</v>
      </c>
      <c r="B17" s="874">
        <v>281.17</v>
      </c>
      <c r="C17" s="874">
        <v>281.53</v>
      </c>
      <c r="D17" s="874">
        <v>293.3</v>
      </c>
      <c r="E17" s="874">
        <v>296.09</v>
      </c>
      <c r="F17" s="874">
        <v>295.59</v>
      </c>
      <c r="G17" s="874">
        <v>294.05</v>
      </c>
      <c r="H17" s="874">
        <v>286.72</v>
      </c>
      <c r="I17" s="874">
        <v>277.16</v>
      </c>
      <c r="J17" s="874">
        <v>266.46</v>
      </c>
      <c r="K17" s="874">
        <v>256.9</v>
      </c>
      <c r="L17" s="874">
        <v>253.6</v>
      </c>
      <c r="M17" s="875">
        <v>279</v>
      </c>
    </row>
    <row r="18" spans="1:13" ht="12.75">
      <c r="A18" s="1002">
        <v>2006</v>
      </c>
      <c r="B18" s="874">
        <v>283.52</v>
      </c>
      <c r="C18" s="874">
        <v>288.6</v>
      </c>
      <c r="D18" s="877">
        <v>294.42</v>
      </c>
      <c r="E18" s="874">
        <v>295.87</v>
      </c>
      <c r="F18" s="874">
        <v>296.48</v>
      </c>
      <c r="G18" s="874">
        <v>295.85</v>
      </c>
      <c r="H18" s="874">
        <v>293.78</v>
      </c>
      <c r="I18" s="874">
        <v>290.2</v>
      </c>
      <c r="J18" s="874">
        <v>285.3</v>
      </c>
      <c r="K18" s="874">
        <v>278.73</v>
      </c>
      <c r="L18" s="874">
        <v>266.2</v>
      </c>
      <c r="M18" s="875">
        <v>256.18</v>
      </c>
    </row>
    <row r="19" spans="1:13" ht="12.75">
      <c r="A19" s="1001">
        <v>2007</v>
      </c>
      <c r="B19" s="874">
        <v>256.1</v>
      </c>
      <c r="C19" s="874">
        <v>263.73</v>
      </c>
      <c r="D19" s="874">
        <v>272</v>
      </c>
      <c r="E19" s="874">
        <v>276.8</v>
      </c>
      <c r="F19" s="874">
        <v>276.8</v>
      </c>
      <c r="G19" s="874">
        <v>274.81</v>
      </c>
      <c r="H19" s="874">
        <v>268.5</v>
      </c>
      <c r="I19" s="874">
        <v>263.63</v>
      </c>
      <c r="J19" s="874">
        <v>261.8</v>
      </c>
      <c r="K19" s="874">
        <v>261.06</v>
      </c>
      <c r="L19" s="874">
        <v>275.8</v>
      </c>
      <c r="M19" s="875">
        <v>282.12</v>
      </c>
    </row>
    <row r="20" spans="1:13" ht="12.75">
      <c r="A20" s="1001">
        <v>2008</v>
      </c>
      <c r="B20" s="874">
        <v>285.10354838709674</v>
      </c>
      <c r="C20" s="874">
        <v>289.7228571428572</v>
      </c>
      <c r="D20" s="874">
        <v>290.9338709677418</v>
      </c>
      <c r="E20" s="874">
        <v>295.4736666666667</v>
      </c>
      <c r="F20" s="874">
        <v>295.321935483871</v>
      </c>
      <c r="G20" s="874">
        <v>295.68000000000006</v>
      </c>
      <c r="H20" s="877">
        <v>294.25032258064516</v>
      </c>
      <c r="I20" s="874">
        <v>288.6161290322581</v>
      </c>
      <c r="J20" s="874">
        <v>283.934</v>
      </c>
      <c r="K20" s="874">
        <v>280.89548387096767</v>
      </c>
      <c r="L20" s="874">
        <v>285.20699999999994</v>
      </c>
      <c r="M20" s="875">
        <v>286.4732258064517</v>
      </c>
    </row>
    <row r="21" spans="1:13" ht="12.75">
      <c r="A21" s="1002">
        <v>2009</v>
      </c>
      <c r="B21" s="881">
        <v>283.5712903225806</v>
      </c>
      <c r="C21" s="881">
        <v>281.8351724137931</v>
      </c>
      <c r="D21" s="881">
        <v>283.39548387096767</v>
      </c>
      <c r="E21" s="881">
        <v>292.4683333333333</v>
      </c>
      <c r="F21" s="881">
        <v>293.68612903225807</v>
      </c>
      <c r="G21" s="881">
        <v>292.44899999999996</v>
      </c>
      <c r="H21" s="881">
        <v>287.993870967742</v>
      </c>
      <c r="I21" s="881">
        <v>281.15612903225815</v>
      </c>
      <c r="J21" s="881">
        <v>276.1626666666668</v>
      </c>
      <c r="K21" s="881">
        <v>271.62645161290317</v>
      </c>
      <c r="L21" s="881">
        <v>266.311</v>
      </c>
      <c r="M21" s="882">
        <v>280.0890322580645</v>
      </c>
    </row>
    <row r="22" spans="1:13" ht="12.75">
      <c r="A22" s="1001">
        <v>2010</v>
      </c>
      <c r="B22" s="883">
        <v>290.0580645161289</v>
      </c>
      <c r="C22" s="883">
        <v>289.19250000000005</v>
      </c>
      <c r="D22" s="883">
        <v>293.88483870967747</v>
      </c>
      <c r="E22" s="883">
        <v>295.97099999999995</v>
      </c>
      <c r="F22" s="883">
        <v>296.34451612903223</v>
      </c>
      <c r="G22" s="883">
        <v>294.4289999999999</v>
      </c>
      <c r="H22" s="883">
        <v>291.75096774193554</v>
      </c>
      <c r="I22" s="883">
        <v>288.58677419354837</v>
      </c>
      <c r="J22" s="883">
        <v>284.90000000000003</v>
      </c>
      <c r="K22" s="883">
        <v>285.21290322580654</v>
      </c>
      <c r="L22" s="883">
        <v>284.2656666666666</v>
      </c>
      <c r="M22" s="884">
        <v>287.4767741935484</v>
      </c>
    </row>
    <row r="23" spans="1:13" ht="12.75">
      <c r="A23" s="1001">
        <v>2011</v>
      </c>
      <c r="B23" s="881">
        <v>281.63322580645166</v>
      </c>
      <c r="C23" s="881">
        <v>274.42903225806447</v>
      </c>
      <c r="D23" s="881">
        <v>274.9925806451613</v>
      </c>
      <c r="E23" s="881">
        <v>276.63129032258064</v>
      </c>
      <c r="F23" s="881">
        <v>280.9609677419355</v>
      </c>
      <c r="G23" s="881">
        <v>286.0767741935484</v>
      </c>
      <c r="H23" s="881">
        <v>284.7009677419355</v>
      </c>
      <c r="I23" s="881">
        <v>278.9612903225806</v>
      </c>
      <c r="J23" s="881">
        <v>273.94733333333335</v>
      </c>
      <c r="K23" s="881">
        <v>268.1674193548387</v>
      </c>
      <c r="L23" s="881">
        <v>261.61600000000004</v>
      </c>
      <c r="M23" s="882">
        <v>264.5048387096774</v>
      </c>
    </row>
    <row r="24" spans="1:13" ht="12.75">
      <c r="A24" s="1002">
        <v>2012</v>
      </c>
      <c r="B24" s="881">
        <v>265.78</v>
      </c>
      <c r="C24" s="881">
        <v>267.68</v>
      </c>
      <c r="D24" s="881">
        <v>262.01</v>
      </c>
      <c r="E24" s="881">
        <v>280.2</v>
      </c>
      <c r="F24" s="881">
        <v>293.4</v>
      </c>
      <c r="G24" s="881">
        <v>294.4</v>
      </c>
      <c r="H24" s="881">
        <v>288.4</v>
      </c>
      <c r="I24" s="881">
        <v>280.4</v>
      </c>
      <c r="J24" s="881">
        <v>261.39</v>
      </c>
      <c r="K24" s="881">
        <v>261.57</v>
      </c>
      <c r="L24" s="881">
        <v>269.03</v>
      </c>
      <c r="M24" s="882">
        <v>276.64</v>
      </c>
    </row>
    <row r="25" spans="1:13" ht="12.75">
      <c r="A25" s="1001">
        <v>2013</v>
      </c>
      <c r="B25" s="881">
        <v>278.27</v>
      </c>
      <c r="C25" s="881">
        <v>281.52</v>
      </c>
      <c r="D25" s="881">
        <v>294.83</v>
      </c>
      <c r="E25" s="885">
        <v>296.9</v>
      </c>
      <c r="F25" s="885">
        <v>296.9</v>
      </c>
      <c r="G25" s="881">
        <v>294.18</v>
      </c>
      <c r="H25" s="881">
        <v>289.7</v>
      </c>
      <c r="I25" s="881">
        <v>283.6</v>
      </c>
      <c r="J25" s="881">
        <v>280.8</v>
      </c>
      <c r="K25" s="881">
        <v>281.4</v>
      </c>
      <c r="L25" s="881">
        <v>282.5</v>
      </c>
      <c r="M25" s="882">
        <v>276.1</v>
      </c>
    </row>
    <row r="26" spans="1:13" ht="12.75">
      <c r="A26" s="1001">
        <v>2014</v>
      </c>
      <c r="B26" s="881">
        <v>275.1</v>
      </c>
      <c r="C26" s="881">
        <v>277.5</v>
      </c>
      <c r="D26" s="881">
        <v>274.6</v>
      </c>
      <c r="E26" s="886">
        <v>285.3</v>
      </c>
      <c r="F26" s="886">
        <v>292.9</v>
      </c>
      <c r="G26" s="881">
        <v>294.9</v>
      </c>
      <c r="H26" s="881">
        <v>291.7</v>
      </c>
      <c r="I26" s="881">
        <v>286.8</v>
      </c>
      <c r="J26" s="881">
        <v>285.5</v>
      </c>
      <c r="K26" s="881">
        <v>285</v>
      </c>
      <c r="L26" s="881">
        <v>284.8</v>
      </c>
      <c r="M26" s="882">
        <v>286.3</v>
      </c>
    </row>
    <row r="27" spans="1:13" ht="12.75">
      <c r="A27" s="1001">
        <v>2015</v>
      </c>
      <c r="B27" s="881">
        <v>288.7</v>
      </c>
      <c r="C27" s="881">
        <v>289.4</v>
      </c>
      <c r="D27" s="881">
        <v>292.2</v>
      </c>
      <c r="E27" s="886">
        <v>296.3</v>
      </c>
      <c r="F27" s="886">
        <v>296.1</v>
      </c>
      <c r="G27" s="881">
        <v>293.3</v>
      </c>
      <c r="H27" s="881">
        <v>287.5</v>
      </c>
      <c r="I27" s="881">
        <v>280.1</v>
      </c>
      <c r="J27" s="881">
        <v>272.1</v>
      </c>
      <c r="K27" s="881">
        <v>275.4</v>
      </c>
      <c r="L27" s="881">
        <v>278.9</v>
      </c>
      <c r="M27" s="882">
        <v>275.9</v>
      </c>
    </row>
    <row r="28" spans="1:13" ht="12.75">
      <c r="A28" s="1001">
        <v>2016</v>
      </c>
      <c r="B28" s="887">
        <v>289.9</v>
      </c>
      <c r="C28" s="885">
        <v>292.4</v>
      </c>
      <c r="D28" s="881">
        <v>291.8</v>
      </c>
      <c r="E28" s="886">
        <v>296.5</v>
      </c>
      <c r="F28" s="886">
        <v>296.2</v>
      </c>
      <c r="G28" s="881">
        <v>295.6</v>
      </c>
      <c r="H28" s="881">
        <v>290.5</v>
      </c>
      <c r="I28" s="881">
        <v>285.4</v>
      </c>
      <c r="J28" s="881">
        <v>283.3</v>
      </c>
      <c r="K28" s="881">
        <v>288.4</v>
      </c>
      <c r="L28" s="881">
        <v>288.9</v>
      </c>
      <c r="M28" s="882">
        <v>281.6</v>
      </c>
    </row>
    <row r="29" spans="1:13" ht="12.75">
      <c r="A29" s="1003">
        <v>2016</v>
      </c>
      <c r="B29" s="888">
        <v>289.9</v>
      </c>
      <c r="C29" s="886">
        <v>292.4</v>
      </c>
      <c r="D29" s="886">
        <v>291.8</v>
      </c>
      <c r="E29" s="886">
        <v>296.5</v>
      </c>
      <c r="F29" s="886">
        <v>296.2</v>
      </c>
      <c r="G29" s="886">
        <v>295.6</v>
      </c>
      <c r="H29" s="886">
        <v>290.5</v>
      </c>
      <c r="I29" s="886">
        <v>285.4</v>
      </c>
      <c r="J29" s="886">
        <v>283.3</v>
      </c>
      <c r="K29" s="886">
        <v>288.4</v>
      </c>
      <c r="L29" s="886">
        <v>288.9</v>
      </c>
      <c r="M29" s="889">
        <v>281.6</v>
      </c>
    </row>
    <row r="30" spans="1:13" ht="9.75" customHeight="1">
      <c r="A30" s="1004"/>
      <c r="B30" s="890" t="s">
        <v>496</v>
      </c>
      <c r="C30" s="890" t="s">
        <v>497</v>
      </c>
      <c r="D30" s="890" t="s">
        <v>498</v>
      </c>
      <c r="E30" s="890" t="s">
        <v>499</v>
      </c>
      <c r="F30" s="890" t="s">
        <v>93</v>
      </c>
      <c r="G30" s="890" t="s">
        <v>500</v>
      </c>
      <c r="H30" s="890" t="s">
        <v>501</v>
      </c>
      <c r="I30" s="890" t="s">
        <v>502</v>
      </c>
      <c r="J30" s="890" t="s">
        <v>567</v>
      </c>
      <c r="K30" s="890" t="s">
        <v>733</v>
      </c>
      <c r="L30" s="890" t="s">
        <v>734</v>
      </c>
      <c r="M30" s="890" t="s">
        <v>735</v>
      </c>
    </row>
    <row r="31" spans="1:13" ht="10.5" customHeight="1">
      <c r="A31" s="1066">
        <v>2017</v>
      </c>
      <c r="B31" s="891">
        <v>271.5</v>
      </c>
      <c r="C31" s="892">
        <v>277.7</v>
      </c>
      <c r="D31" s="892">
        <v>280.9</v>
      </c>
      <c r="E31" s="892">
        <v>278.7</v>
      </c>
      <c r="F31" s="892">
        <v>281.6</v>
      </c>
      <c r="G31" s="892">
        <v>272.4</v>
      </c>
      <c r="H31" s="892">
        <v>270.2</v>
      </c>
      <c r="I31" s="892">
        <v>268</v>
      </c>
      <c r="J31" s="892">
        <v>270.97</v>
      </c>
      <c r="K31" s="892"/>
      <c r="L31" s="892"/>
      <c r="M31" s="893"/>
    </row>
    <row r="32" spans="1:13" ht="9.75" customHeight="1">
      <c r="A32" s="1067" t="s">
        <v>736</v>
      </c>
      <c r="B32" s="891">
        <v>275.4998566308243</v>
      </c>
      <c r="C32" s="892">
        <v>276.7507245116561</v>
      </c>
      <c r="D32" s="892">
        <v>279.31839904420553</v>
      </c>
      <c r="E32" s="892">
        <v>286.64460334528076</v>
      </c>
      <c r="F32" s="892">
        <v>290.7093906810035</v>
      </c>
      <c r="G32" s="892">
        <v>289.8709175627241</v>
      </c>
      <c r="H32" s="892">
        <v>285.4050418160095</v>
      </c>
      <c r="I32" s="892">
        <v>279.9074193548387</v>
      </c>
      <c r="J32" s="892">
        <v>275.94459259259264</v>
      </c>
      <c r="K32" s="892">
        <v>274.69045400238946</v>
      </c>
      <c r="L32" s="892">
        <v>276.04258024691353</v>
      </c>
      <c r="M32" s="893">
        <v>277.9360692951016</v>
      </c>
    </row>
    <row r="33" spans="1:13" ht="9" customHeight="1">
      <c r="A33" s="1067" t="s">
        <v>737</v>
      </c>
      <c r="B33" s="894">
        <v>245.3</v>
      </c>
      <c r="C33" s="894">
        <v>247.1</v>
      </c>
      <c r="D33" s="894">
        <v>252.6</v>
      </c>
      <c r="E33" s="894">
        <v>264</v>
      </c>
      <c r="F33" s="894">
        <v>268.6</v>
      </c>
      <c r="G33" s="894">
        <v>271.3</v>
      </c>
      <c r="H33" s="894">
        <v>270.1</v>
      </c>
      <c r="I33" s="894">
        <v>261.1</v>
      </c>
      <c r="J33" s="894">
        <v>253.6</v>
      </c>
      <c r="K33" s="894">
        <v>248.4</v>
      </c>
      <c r="L33" s="894">
        <v>249.3</v>
      </c>
      <c r="M33" s="895">
        <v>252.1</v>
      </c>
    </row>
    <row r="34" spans="1:13" ht="10.5" customHeight="1" thickBot="1">
      <c r="A34" s="1068" t="s">
        <v>738</v>
      </c>
      <c r="B34" s="896">
        <v>291.1</v>
      </c>
      <c r="C34" s="896">
        <v>292.4</v>
      </c>
      <c r="D34" s="896">
        <v>294.4</v>
      </c>
      <c r="E34" s="896">
        <v>296.9</v>
      </c>
      <c r="F34" s="896">
        <v>296.9</v>
      </c>
      <c r="G34" s="896">
        <v>296.2</v>
      </c>
      <c r="H34" s="896">
        <v>294.3</v>
      </c>
      <c r="I34" s="896">
        <v>291.5</v>
      </c>
      <c r="J34" s="896">
        <v>289.4</v>
      </c>
      <c r="K34" s="896">
        <v>288.3</v>
      </c>
      <c r="L34" s="896">
        <v>289.2</v>
      </c>
      <c r="M34" s="897">
        <v>288</v>
      </c>
    </row>
    <row r="36" spans="2:13" ht="12.75">
      <c r="B36" s="492"/>
      <c r="C36" s="492"/>
      <c r="D36" s="492"/>
      <c r="E36" s="492"/>
      <c r="F36" s="492"/>
      <c r="G36" s="492"/>
      <c r="H36" s="492"/>
      <c r="I36" s="492"/>
      <c r="J36" s="492"/>
      <c r="K36" s="492"/>
      <c r="L36" s="492"/>
      <c r="M36" s="492"/>
    </row>
    <row r="82" spans="11:13" ht="12.75">
      <c r="K82" s="1102" t="s">
        <v>445</v>
      </c>
      <c r="L82" s="1102"/>
      <c r="M82" s="1102"/>
    </row>
  </sheetData>
  <sheetProtection/>
  <mergeCells count="2">
    <mergeCell ref="B1:M1"/>
    <mergeCell ref="K82:M82"/>
  </mergeCells>
  <printOptions/>
  <pageMargins left="0.25" right="0.25" top="0.75" bottom="0.75" header="0.3" footer="0.3"/>
  <pageSetup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E89"/>
  <sheetViews>
    <sheetView view="pageBreakPreview" zoomScale="90" zoomScaleSheetLayoutView="90" zoomScalePageLayoutView="0" workbookViewId="0" topLeftCell="A1">
      <selection activeCell="CY89" sqref="CY89"/>
    </sheetView>
  </sheetViews>
  <sheetFormatPr defaultColWidth="9.140625" defaultRowHeight="15"/>
  <cols>
    <col min="1" max="1" width="15.00390625" style="1" bestFit="1" customWidth="1"/>
    <col min="2" max="109" width="3.28125" style="1" bestFit="1" customWidth="1"/>
    <col min="110" max="110" width="2.8515625" style="1" customWidth="1"/>
    <col min="111" max="16384" width="9.140625" style="1" customWidth="1"/>
  </cols>
  <sheetData>
    <row r="1" spans="1:97" ht="30" customHeight="1">
      <c r="A1" s="1248" t="s">
        <v>201</v>
      </c>
      <c r="B1" s="1248"/>
      <c r="C1" s="1248"/>
      <c r="D1" s="1248"/>
      <c r="E1" s="1248"/>
      <c r="F1" s="1248"/>
      <c r="G1" s="1248"/>
      <c r="H1" s="1248"/>
      <c r="I1" s="1248"/>
      <c r="J1" s="1248"/>
      <c r="K1" s="1248"/>
      <c r="L1" s="1248"/>
      <c r="M1" s="1248"/>
      <c r="N1" s="1248"/>
      <c r="O1" s="1248"/>
      <c r="P1" s="1248"/>
      <c r="Q1" s="1247"/>
      <c r="R1" s="1247"/>
      <c r="S1" s="1247"/>
      <c r="T1" s="1247"/>
      <c r="U1" s="1247"/>
      <c r="V1" s="1247"/>
      <c r="W1" s="1247"/>
      <c r="X1" s="1247"/>
      <c r="Y1" s="1247"/>
      <c r="Z1" s="1247"/>
      <c r="AA1" s="1247"/>
      <c r="AB1" s="1247"/>
      <c r="AC1" s="1247"/>
      <c r="AD1" s="1247"/>
      <c r="AE1" s="1247"/>
      <c r="AF1" s="1247"/>
      <c r="AG1" s="1247"/>
      <c r="AH1" s="1247"/>
      <c r="AI1" s="1247"/>
      <c r="AJ1" s="1247"/>
      <c r="AK1" s="1247"/>
      <c r="AL1" s="1247"/>
      <c r="AM1" s="1247"/>
      <c r="AN1" s="1247"/>
      <c r="AO1" s="1247"/>
      <c r="AP1" s="1247"/>
      <c r="AQ1" s="1247"/>
      <c r="AR1" s="1247"/>
      <c r="AS1" s="1247"/>
      <c r="AT1" s="1247"/>
      <c r="AU1" s="1247"/>
      <c r="AV1" s="1247"/>
      <c r="AW1" s="1247"/>
      <c r="AX1" s="1247"/>
      <c r="AY1" s="1247"/>
      <c r="AZ1" s="1247"/>
      <c r="BA1" s="1247"/>
      <c r="BB1" s="1247"/>
      <c r="BC1" s="1247"/>
      <c r="BD1" s="1247"/>
      <c r="BE1" s="1247"/>
      <c r="BF1" s="1247"/>
      <c r="BG1" s="1247"/>
      <c r="BH1" s="1247"/>
      <c r="BI1" s="1247"/>
      <c r="BJ1" s="1247"/>
      <c r="BK1" s="1247"/>
      <c r="BL1" s="1247"/>
      <c r="BM1" s="1247"/>
      <c r="BN1" s="1247"/>
      <c r="BO1" s="1247"/>
      <c r="BP1" s="1247"/>
      <c r="BQ1" s="1247"/>
      <c r="BR1" s="1247"/>
      <c r="BS1" s="1247"/>
      <c r="BT1" s="1247"/>
      <c r="BU1" s="1247"/>
      <c r="BV1" s="1247"/>
      <c r="BW1" s="1247"/>
      <c r="BX1" s="1247"/>
      <c r="BY1" s="1247"/>
      <c r="BZ1" s="1247"/>
      <c r="CA1" s="1247"/>
      <c r="CB1" s="1247"/>
      <c r="CC1" s="1247"/>
      <c r="CD1" s="1247"/>
      <c r="CE1" s="1247"/>
      <c r="CF1" s="1247"/>
      <c r="CG1" s="1247"/>
      <c r="CH1" s="1247"/>
      <c r="CI1" s="1247"/>
      <c r="CJ1" s="1247"/>
      <c r="CK1" s="1247"/>
      <c r="CL1" s="1247"/>
      <c r="CM1" s="1247"/>
      <c r="CN1" s="1247"/>
      <c r="CO1" s="1247"/>
      <c r="CP1" s="1247"/>
      <c r="CQ1" s="1247"/>
      <c r="CR1" s="1247"/>
      <c r="CS1" s="1247"/>
    </row>
    <row r="2" spans="1:109" ht="12.75">
      <c r="A2" s="467"/>
      <c r="B2" s="1247">
        <v>2009</v>
      </c>
      <c r="C2" s="1249"/>
      <c r="D2" s="1249"/>
      <c r="E2" s="1249"/>
      <c r="F2" s="1249"/>
      <c r="G2" s="1249"/>
      <c r="H2" s="1249"/>
      <c r="I2" s="1249"/>
      <c r="J2" s="1249"/>
      <c r="K2" s="1250"/>
      <c r="L2" s="1250"/>
      <c r="M2" s="1250"/>
      <c r="N2" s="1250">
        <v>2010</v>
      </c>
      <c r="O2" s="1247"/>
      <c r="P2" s="1247"/>
      <c r="Q2" s="1247"/>
      <c r="R2" s="1247"/>
      <c r="S2" s="1247"/>
      <c r="T2" s="1247"/>
      <c r="U2" s="1247"/>
      <c r="V2" s="1247"/>
      <c r="W2" s="1247"/>
      <c r="X2" s="1247"/>
      <c r="Y2" s="1247"/>
      <c r="Z2" s="1247">
        <v>2011</v>
      </c>
      <c r="AA2" s="1247"/>
      <c r="AB2" s="1247"/>
      <c r="AC2" s="1247"/>
      <c r="AD2" s="1247"/>
      <c r="AE2" s="1247"/>
      <c r="AF2" s="1247"/>
      <c r="AG2" s="1247"/>
      <c r="AH2" s="1247"/>
      <c r="AI2" s="1247"/>
      <c r="AJ2" s="1247"/>
      <c r="AK2" s="1247"/>
      <c r="AL2" s="1247">
        <v>2012</v>
      </c>
      <c r="AM2" s="1247"/>
      <c r="AN2" s="1247"/>
      <c r="AO2" s="1247"/>
      <c r="AP2" s="1247"/>
      <c r="AQ2" s="1247"/>
      <c r="AR2" s="1247"/>
      <c r="AS2" s="1247"/>
      <c r="AT2" s="1247"/>
      <c r="AU2" s="1247"/>
      <c r="AV2" s="1247"/>
      <c r="AW2" s="1247"/>
      <c r="AX2" s="1247">
        <v>2013</v>
      </c>
      <c r="AY2" s="1247"/>
      <c r="AZ2" s="1247"/>
      <c r="BA2" s="1247"/>
      <c r="BB2" s="1247"/>
      <c r="BC2" s="1247"/>
      <c r="BD2" s="1247"/>
      <c r="BE2" s="1247"/>
      <c r="BF2" s="1247"/>
      <c r="BG2" s="1247"/>
      <c r="BH2" s="1247"/>
      <c r="BI2" s="1247"/>
      <c r="BJ2" s="1247">
        <v>2014</v>
      </c>
      <c r="BK2" s="1247"/>
      <c r="BL2" s="1247"/>
      <c r="BM2" s="1247"/>
      <c r="BN2" s="1247"/>
      <c r="BO2" s="1247"/>
      <c r="BP2" s="1247"/>
      <c r="BQ2" s="1247"/>
      <c r="BR2" s="1247"/>
      <c r="BS2" s="1247"/>
      <c r="BT2" s="1247"/>
      <c r="BU2" s="1247"/>
      <c r="BV2" s="1247">
        <v>2015</v>
      </c>
      <c r="BW2" s="1247"/>
      <c r="BX2" s="1247"/>
      <c r="BY2" s="1247"/>
      <c r="BZ2" s="1247"/>
      <c r="CA2" s="1247"/>
      <c r="CB2" s="1247"/>
      <c r="CC2" s="1247"/>
      <c r="CD2" s="1247"/>
      <c r="CE2" s="1247"/>
      <c r="CF2" s="1247"/>
      <c r="CG2" s="1247"/>
      <c r="CH2" s="1247">
        <v>2016</v>
      </c>
      <c r="CI2" s="1247"/>
      <c r="CJ2" s="1247"/>
      <c r="CK2" s="1247"/>
      <c r="CL2" s="1247"/>
      <c r="CM2" s="1247"/>
      <c r="CN2" s="1247"/>
      <c r="CO2" s="1247"/>
      <c r="CP2" s="1247"/>
      <c r="CQ2" s="1247"/>
      <c r="CR2" s="1247"/>
      <c r="CS2" s="1247"/>
      <c r="CT2" s="1247">
        <v>2017</v>
      </c>
      <c r="CU2" s="1247"/>
      <c r="CV2" s="1247"/>
      <c r="CW2" s="1247"/>
      <c r="CX2" s="1247"/>
      <c r="CY2" s="1247"/>
      <c r="CZ2" s="1247"/>
      <c r="DA2" s="1247"/>
      <c r="DB2" s="1247"/>
      <c r="DC2" s="1247"/>
      <c r="DD2" s="1247"/>
      <c r="DE2" s="1247"/>
    </row>
    <row r="3" spans="1:109" ht="15">
      <c r="A3" s="467"/>
      <c r="B3" s="468">
        <v>1</v>
      </c>
      <c r="C3" s="468">
        <v>2</v>
      </c>
      <c r="D3" s="468">
        <v>3</v>
      </c>
      <c r="E3" s="468">
        <v>4</v>
      </c>
      <c r="F3" s="468">
        <v>5</v>
      </c>
      <c r="G3" s="468">
        <v>6</v>
      </c>
      <c r="H3" s="468">
        <v>7</v>
      </c>
      <c r="I3" s="468">
        <v>8</v>
      </c>
      <c r="J3" s="468">
        <v>9</v>
      </c>
      <c r="K3" s="468">
        <v>10</v>
      </c>
      <c r="L3" s="468">
        <v>11</v>
      </c>
      <c r="M3" s="468">
        <v>12</v>
      </c>
      <c r="N3" s="468">
        <v>1</v>
      </c>
      <c r="O3" s="468">
        <v>2</v>
      </c>
      <c r="P3" s="468">
        <v>3</v>
      </c>
      <c r="Q3" s="468">
        <v>4</v>
      </c>
      <c r="R3" s="468">
        <v>5</v>
      </c>
      <c r="S3" s="468">
        <v>6</v>
      </c>
      <c r="T3" s="468">
        <v>7</v>
      </c>
      <c r="U3" s="468">
        <v>8</v>
      </c>
      <c r="V3" s="468">
        <v>9</v>
      </c>
      <c r="W3" s="468">
        <v>10</v>
      </c>
      <c r="X3" s="468">
        <v>11</v>
      </c>
      <c r="Y3" s="468">
        <v>12</v>
      </c>
      <c r="Z3" s="468">
        <v>1</v>
      </c>
      <c r="AA3" s="468">
        <v>2</v>
      </c>
      <c r="AB3" s="468">
        <v>3</v>
      </c>
      <c r="AC3" s="468">
        <v>4</v>
      </c>
      <c r="AD3" s="468">
        <v>5</v>
      </c>
      <c r="AE3" s="468">
        <v>6</v>
      </c>
      <c r="AF3" s="468">
        <v>7</v>
      </c>
      <c r="AG3" s="468">
        <v>8</v>
      </c>
      <c r="AH3" s="468">
        <v>9</v>
      </c>
      <c r="AI3" s="468">
        <v>10</v>
      </c>
      <c r="AJ3" s="468">
        <v>11</v>
      </c>
      <c r="AK3" s="468">
        <v>12</v>
      </c>
      <c r="AL3" s="468">
        <v>1</v>
      </c>
      <c r="AM3" s="468">
        <v>2</v>
      </c>
      <c r="AN3" s="468">
        <v>3</v>
      </c>
      <c r="AO3" s="468">
        <v>4</v>
      </c>
      <c r="AP3" s="468">
        <v>5</v>
      </c>
      <c r="AQ3" s="468">
        <v>6</v>
      </c>
      <c r="AR3" s="468">
        <v>7</v>
      </c>
      <c r="AS3" s="468">
        <v>8</v>
      </c>
      <c r="AT3" s="468">
        <v>9</v>
      </c>
      <c r="AU3" s="468">
        <v>10</v>
      </c>
      <c r="AV3" s="468">
        <v>11</v>
      </c>
      <c r="AW3" s="468">
        <v>12</v>
      </c>
      <c r="AX3" s="468">
        <v>1</v>
      </c>
      <c r="AY3" s="468">
        <v>2</v>
      </c>
      <c r="AZ3" s="468">
        <v>3</v>
      </c>
      <c r="BA3" s="468">
        <v>4</v>
      </c>
      <c r="BB3" s="468">
        <v>5</v>
      </c>
      <c r="BC3" s="468">
        <v>6</v>
      </c>
      <c r="BD3" s="468">
        <v>7</v>
      </c>
      <c r="BE3" s="468">
        <v>8</v>
      </c>
      <c r="BF3" s="468">
        <v>9</v>
      </c>
      <c r="BG3" s="468">
        <v>10</v>
      </c>
      <c r="BH3" s="468">
        <v>11</v>
      </c>
      <c r="BI3" s="468">
        <v>12</v>
      </c>
      <c r="BJ3" s="468">
        <v>1</v>
      </c>
      <c r="BK3" s="468">
        <v>2</v>
      </c>
      <c r="BL3" s="468">
        <v>3</v>
      </c>
      <c r="BM3" s="468">
        <v>4</v>
      </c>
      <c r="BN3" s="468">
        <v>5</v>
      </c>
      <c r="BO3" s="468">
        <v>6</v>
      </c>
      <c r="BP3" s="468">
        <v>7</v>
      </c>
      <c r="BQ3" s="468">
        <v>8</v>
      </c>
      <c r="BR3" s="468">
        <v>9</v>
      </c>
      <c r="BS3" s="468">
        <v>10</v>
      </c>
      <c r="BT3" s="468">
        <v>11</v>
      </c>
      <c r="BU3" s="468">
        <v>12</v>
      </c>
      <c r="BV3" s="468">
        <v>1</v>
      </c>
      <c r="BW3" s="468">
        <v>2</v>
      </c>
      <c r="BX3" s="468">
        <v>3</v>
      </c>
      <c r="BY3" s="468">
        <v>4</v>
      </c>
      <c r="BZ3" s="468">
        <v>5</v>
      </c>
      <c r="CA3" s="468">
        <v>6</v>
      </c>
      <c r="CB3" s="468">
        <v>7</v>
      </c>
      <c r="CC3" s="468">
        <v>8</v>
      </c>
      <c r="CD3" s="468">
        <v>9</v>
      </c>
      <c r="CE3" s="468">
        <v>10</v>
      </c>
      <c r="CF3" s="468">
        <v>11</v>
      </c>
      <c r="CG3" s="468">
        <v>12</v>
      </c>
      <c r="CH3" s="468">
        <v>1</v>
      </c>
      <c r="CI3" s="468">
        <v>2</v>
      </c>
      <c r="CJ3" s="468">
        <v>3</v>
      </c>
      <c r="CK3" s="468">
        <v>4</v>
      </c>
      <c r="CL3" s="468">
        <v>5</v>
      </c>
      <c r="CM3" s="468">
        <v>6</v>
      </c>
      <c r="CN3" s="468">
        <v>7</v>
      </c>
      <c r="CO3" s="468">
        <v>8</v>
      </c>
      <c r="CP3" s="468">
        <v>9</v>
      </c>
      <c r="CQ3" s="468">
        <v>10</v>
      </c>
      <c r="CR3" s="468">
        <v>11</v>
      </c>
      <c r="CS3" s="468">
        <v>12</v>
      </c>
      <c r="CT3" s="468">
        <v>1</v>
      </c>
      <c r="CU3" s="468">
        <v>2</v>
      </c>
      <c r="CV3" s="468">
        <v>3</v>
      </c>
      <c r="CW3" s="468">
        <v>4</v>
      </c>
      <c r="CX3" s="468">
        <v>5</v>
      </c>
      <c r="CY3" s="468">
        <v>6</v>
      </c>
      <c r="CZ3" s="468">
        <v>7</v>
      </c>
      <c r="DA3" s="468">
        <v>8</v>
      </c>
      <c r="DB3" s="468">
        <v>9</v>
      </c>
      <c r="DC3" s="468">
        <v>10</v>
      </c>
      <c r="DD3" s="468">
        <v>11</v>
      </c>
      <c r="DE3" s="468">
        <v>12</v>
      </c>
    </row>
    <row r="4" spans="1:109" ht="51.75" customHeight="1">
      <c r="A4" s="469" t="s">
        <v>165</v>
      </c>
      <c r="B4" s="470">
        <v>20889</v>
      </c>
      <c r="C4" s="470">
        <v>17889</v>
      </c>
      <c r="D4" s="470">
        <v>17445</v>
      </c>
      <c r="E4" s="470">
        <v>13450</v>
      </c>
      <c r="F4" s="470">
        <v>12360</v>
      </c>
      <c r="G4" s="470">
        <v>12499</v>
      </c>
      <c r="H4" s="470">
        <v>14559</v>
      </c>
      <c r="I4" s="470">
        <v>15259</v>
      </c>
      <c r="J4" s="470">
        <v>10442</v>
      </c>
      <c r="K4" s="470">
        <v>13037</v>
      </c>
      <c r="L4" s="470">
        <v>15429</v>
      </c>
      <c r="M4" s="470">
        <v>15480</v>
      </c>
      <c r="N4" s="471">
        <v>19704</v>
      </c>
      <c r="O4" s="471">
        <v>15878</v>
      </c>
      <c r="P4" s="471">
        <v>15420</v>
      </c>
      <c r="Q4" s="471">
        <v>12070</v>
      </c>
      <c r="R4" s="471">
        <v>12161</v>
      </c>
      <c r="S4" s="471">
        <v>10676</v>
      </c>
      <c r="T4" s="471">
        <v>12256</v>
      </c>
      <c r="U4" s="471">
        <v>11513</v>
      </c>
      <c r="V4" s="472">
        <v>11140</v>
      </c>
      <c r="W4" s="472">
        <v>16003</v>
      </c>
      <c r="X4" s="472">
        <v>10714</v>
      </c>
      <c r="Y4" s="472">
        <v>16011</v>
      </c>
      <c r="Z4" s="470">
        <v>17051</v>
      </c>
      <c r="AA4" s="470">
        <v>13658.3</v>
      </c>
      <c r="AB4" s="470">
        <v>15221.59999999993</v>
      </c>
      <c r="AC4" s="470">
        <v>11440</v>
      </c>
      <c r="AD4" s="470">
        <v>14510.799999999941</v>
      </c>
      <c r="AE4" s="473">
        <v>10957</v>
      </c>
      <c r="AF4" s="470">
        <v>17156.296999999962</v>
      </c>
      <c r="AG4" s="470">
        <v>16150.858999999939</v>
      </c>
      <c r="AH4" s="474">
        <v>13612</v>
      </c>
      <c r="AI4" s="470">
        <v>12213.23508254247</v>
      </c>
      <c r="AJ4" s="470">
        <v>13684.089458245984</v>
      </c>
      <c r="AK4" s="470">
        <v>15282.038376547765</v>
      </c>
      <c r="AL4" s="470">
        <v>18073.86572473699</v>
      </c>
      <c r="AM4" s="470">
        <v>15494.33846710895</v>
      </c>
      <c r="AN4" s="470">
        <v>13039</v>
      </c>
      <c r="AO4" s="470">
        <v>9624.7</v>
      </c>
      <c r="AP4" s="470">
        <v>6652.6</v>
      </c>
      <c r="AQ4" s="470">
        <v>14671</v>
      </c>
      <c r="AR4" s="470">
        <v>14303.256014598981</v>
      </c>
      <c r="AS4" s="470">
        <v>15327</v>
      </c>
      <c r="AT4" s="470">
        <v>10935</v>
      </c>
      <c r="AU4" s="470">
        <v>12059.721665297971</v>
      </c>
      <c r="AV4" s="470">
        <v>13305.168552565012</v>
      </c>
      <c r="AW4" s="470">
        <v>18345</v>
      </c>
      <c r="AX4" s="475">
        <v>22871.903082548986</v>
      </c>
      <c r="AY4" s="475">
        <v>17006.06622065096</v>
      </c>
      <c r="AZ4" s="475">
        <v>14493.212774075908</v>
      </c>
      <c r="BA4" s="476">
        <v>13983.147927808925</v>
      </c>
      <c r="BB4" s="477">
        <v>11711</v>
      </c>
      <c r="BC4" s="477">
        <v>15866</v>
      </c>
      <c r="BD4" s="477">
        <v>16412</v>
      </c>
      <c r="BE4" s="477">
        <v>16994</v>
      </c>
      <c r="BF4" s="477">
        <v>14303</v>
      </c>
      <c r="BG4" s="478">
        <v>16327.56461208707</v>
      </c>
      <c r="BH4" s="478">
        <v>18046.286051668063</v>
      </c>
      <c r="BI4" s="478">
        <v>23669.769896922924</v>
      </c>
      <c r="BJ4" s="479">
        <v>20045</v>
      </c>
      <c r="BK4" s="479">
        <v>19144</v>
      </c>
      <c r="BL4" s="479">
        <v>20529</v>
      </c>
      <c r="BM4" s="478">
        <v>20982</v>
      </c>
      <c r="BN4" s="478">
        <v>15117</v>
      </c>
      <c r="BO4" s="477">
        <v>13603</v>
      </c>
      <c r="BP4" s="477">
        <v>14825</v>
      </c>
      <c r="BQ4" s="478">
        <v>15455</v>
      </c>
      <c r="BR4" s="478">
        <v>11831</v>
      </c>
      <c r="BS4" s="478">
        <v>13592</v>
      </c>
      <c r="BT4" s="478">
        <v>13121</v>
      </c>
      <c r="BU4" s="478">
        <v>14964</v>
      </c>
      <c r="BV4" s="479">
        <v>18577</v>
      </c>
      <c r="BW4" s="479">
        <v>15359</v>
      </c>
      <c r="BX4" s="479">
        <v>14263</v>
      </c>
      <c r="BY4" s="478">
        <v>12218</v>
      </c>
      <c r="BZ4" s="478">
        <v>10578</v>
      </c>
      <c r="CA4" s="478">
        <v>10446</v>
      </c>
      <c r="CB4" s="477">
        <v>12629</v>
      </c>
      <c r="CC4" s="478">
        <v>13830</v>
      </c>
      <c r="CD4" s="478">
        <v>8992</v>
      </c>
      <c r="CE4" s="478">
        <v>12807</v>
      </c>
      <c r="CF4" s="478">
        <v>14283</v>
      </c>
      <c r="CG4" s="478">
        <v>18743</v>
      </c>
      <c r="CH4" s="479">
        <v>16293</v>
      </c>
      <c r="CI4" s="479">
        <v>16164</v>
      </c>
      <c r="CJ4" s="479">
        <v>14222</v>
      </c>
      <c r="CK4" s="478">
        <v>11636</v>
      </c>
      <c r="CL4" s="478">
        <v>11820</v>
      </c>
      <c r="CM4" s="478">
        <v>9945</v>
      </c>
      <c r="CN4" s="477">
        <v>11191</v>
      </c>
      <c r="CO4" s="478">
        <v>12307</v>
      </c>
      <c r="CP4" s="478">
        <v>9240</v>
      </c>
      <c r="CQ4" s="478">
        <v>10857</v>
      </c>
      <c r="CR4" s="478">
        <v>15272</v>
      </c>
      <c r="CS4" s="478">
        <v>16682</v>
      </c>
      <c r="CT4" s="479">
        <v>15077</v>
      </c>
      <c r="CU4" s="479">
        <v>12861</v>
      </c>
      <c r="CV4" s="479">
        <v>12525</v>
      </c>
      <c r="CW4" s="478">
        <v>11289</v>
      </c>
      <c r="CX4" s="478">
        <v>10268</v>
      </c>
      <c r="CY4" s="478">
        <v>10676</v>
      </c>
      <c r="CZ4" s="477">
        <v>11794</v>
      </c>
      <c r="DA4" s="478">
        <v>10326</v>
      </c>
      <c r="DB4" s="478"/>
      <c r="DC4" s="478"/>
      <c r="DD4" s="478"/>
      <c r="DE4" s="478"/>
    </row>
    <row r="5" spans="1:109" ht="59.25" customHeight="1">
      <c r="A5" s="480" t="s">
        <v>166</v>
      </c>
      <c r="B5" s="470">
        <v>112692</v>
      </c>
      <c r="C5" s="470">
        <v>98658</v>
      </c>
      <c r="D5" s="470">
        <v>101693</v>
      </c>
      <c r="E5" s="470">
        <v>78561</v>
      </c>
      <c r="F5" s="470">
        <v>74209</v>
      </c>
      <c r="G5" s="470">
        <v>69837</v>
      </c>
      <c r="H5" s="470">
        <v>74098</v>
      </c>
      <c r="I5" s="470">
        <v>76496</v>
      </c>
      <c r="J5" s="470">
        <v>63782</v>
      </c>
      <c r="K5" s="475">
        <v>74367</v>
      </c>
      <c r="L5" s="470">
        <v>86189</v>
      </c>
      <c r="M5" s="470">
        <v>104868</v>
      </c>
      <c r="N5" s="471">
        <v>114747</v>
      </c>
      <c r="O5" s="471">
        <v>103969</v>
      </c>
      <c r="P5" s="471">
        <v>102685</v>
      </c>
      <c r="Q5" s="471">
        <v>82550</v>
      </c>
      <c r="R5" s="471">
        <v>75006</v>
      </c>
      <c r="S5" s="471">
        <v>72289</v>
      </c>
      <c r="T5" s="471">
        <v>76103</v>
      </c>
      <c r="U5" s="471">
        <v>78334</v>
      </c>
      <c r="V5" s="472">
        <v>64551</v>
      </c>
      <c r="W5" s="472">
        <v>55645</v>
      </c>
      <c r="X5" s="472">
        <v>64411.8354</v>
      </c>
      <c r="Y5" s="472">
        <v>78244</v>
      </c>
      <c r="Z5" s="470">
        <v>85619.4</v>
      </c>
      <c r="AA5" s="470">
        <v>74443</v>
      </c>
      <c r="AB5" s="470">
        <v>74674.1</v>
      </c>
      <c r="AC5" s="470">
        <v>62311</v>
      </c>
      <c r="AD5" s="470">
        <v>58586.8</v>
      </c>
      <c r="AE5" s="473">
        <v>57640</v>
      </c>
      <c r="AF5" s="470">
        <v>58512.425320000024</v>
      </c>
      <c r="AG5" s="470">
        <v>62706.64250400005</v>
      </c>
      <c r="AH5" s="474">
        <v>57138</v>
      </c>
      <c r="AI5" s="470">
        <v>63853.207170003996</v>
      </c>
      <c r="AJ5" s="470">
        <v>73491.1869866074</v>
      </c>
      <c r="AK5" s="470">
        <v>85849.95388868751</v>
      </c>
      <c r="AL5" s="470">
        <v>93441.08091342304</v>
      </c>
      <c r="AM5" s="470">
        <v>87873.82711989162</v>
      </c>
      <c r="AN5" s="470">
        <v>77702</v>
      </c>
      <c r="AO5" s="470">
        <v>72144</v>
      </c>
      <c r="AP5" s="470">
        <v>66899</v>
      </c>
      <c r="AQ5" s="470">
        <v>59766</v>
      </c>
      <c r="AR5" s="470">
        <v>67304.15516362006</v>
      </c>
      <c r="AS5" s="470">
        <v>66839</v>
      </c>
      <c r="AT5" s="470">
        <v>60433</v>
      </c>
      <c r="AU5" s="475">
        <v>61615.53890782733</v>
      </c>
      <c r="AV5" s="470">
        <v>70034.76348342487</v>
      </c>
      <c r="AW5" s="470">
        <v>95564</v>
      </c>
      <c r="AX5" s="474">
        <v>90192.73598919845</v>
      </c>
      <c r="AY5" s="474">
        <v>84133.58015568797</v>
      </c>
      <c r="AZ5" s="474">
        <v>87890.67132039965</v>
      </c>
      <c r="BA5" s="474">
        <v>68948.10786250804</v>
      </c>
      <c r="BB5" s="481">
        <v>64737</v>
      </c>
      <c r="BC5" s="481">
        <v>61865</v>
      </c>
      <c r="BD5" s="481">
        <v>66686</v>
      </c>
      <c r="BE5" s="481">
        <v>69006</v>
      </c>
      <c r="BF5" s="481">
        <v>60636</v>
      </c>
      <c r="BG5" s="482">
        <v>64620.84875999017</v>
      </c>
      <c r="BH5" s="482">
        <v>71604.57108434547</v>
      </c>
      <c r="BI5" s="482">
        <v>94039.45703219135</v>
      </c>
      <c r="BJ5" s="482">
        <v>91442</v>
      </c>
      <c r="BK5" s="482">
        <v>76871</v>
      </c>
      <c r="BL5" s="482">
        <v>77639</v>
      </c>
      <c r="BM5" s="482">
        <v>67013</v>
      </c>
      <c r="BN5" s="482">
        <v>67117</v>
      </c>
      <c r="BO5" s="481">
        <v>62562</v>
      </c>
      <c r="BP5" s="481">
        <v>65819</v>
      </c>
      <c r="BQ5" s="482">
        <v>69072</v>
      </c>
      <c r="BR5" s="482">
        <v>63018</v>
      </c>
      <c r="BS5" s="482">
        <v>68074</v>
      </c>
      <c r="BT5" s="482">
        <v>91791</v>
      </c>
      <c r="BU5" s="482">
        <v>107998</v>
      </c>
      <c r="BV5" s="482">
        <v>125766</v>
      </c>
      <c r="BW5" s="482">
        <v>109193</v>
      </c>
      <c r="BX5" s="482">
        <v>110877</v>
      </c>
      <c r="BY5" s="482">
        <v>95987</v>
      </c>
      <c r="BZ5" s="482">
        <v>88815</v>
      </c>
      <c r="CA5" s="482">
        <v>87544</v>
      </c>
      <c r="CB5" s="481">
        <v>100179</v>
      </c>
      <c r="CC5" s="482">
        <v>97516</v>
      </c>
      <c r="CD5" s="482">
        <v>87584</v>
      </c>
      <c r="CE5" s="482">
        <v>87547</v>
      </c>
      <c r="CF5" s="482">
        <v>94973</v>
      </c>
      <c r="CG5" s="482">
        <v>117812</v>
      </c>
      <c r="CH5" s="482">
        <v>125071</v>
      </c>
      <c r="CI5" s="482">
        <v>101612</v>
      </c>
      <c r="CJ5" s="482">
        <v>106426</v>
      </c>
      <c r="CK5" s="482">
        <v>87210</v>
      </c>
      <c r="CL5" s="482">
        <v>88640</v>
      </c>
      <c r="CM5" s="482">
        <v>87523</v>
      </c>
      <c r="CN5" s="481">
        <v>96096</v>
      </c>
      <c r="CO5" s="482">
        <v>95846</v>
      </c>
      <c r="CP5" s="482">
        <v>85682</v>
      </c>
      <c r="CQ5" s="482">
        <v>90184</v>
      </c>
      <c r="CR5" s="482">
        <v>98349</v>
      </c>
      <c r="CS5" s="482">
        <v>128233</v>
      </c>
      <c r="CT5" s="482">
        <v>122373</v>
      </c>
      <c r="CU5" s="482">
        <v>95095</v>
      </c>
      <c r="CV5" s="482">
        <v>92156</v>
      </c>
      <c r="CW5" s="482">
        <v>83507</v>
      </c>
      <c r="CX5" s="482">
        <v>80943</v>
      </c>
      <c r="CY5" s="482">
        <v>82518</v>
      </c>
      <c r="CZ5" s="481">
        <v>89929</v>
      </c>
      <c r="DA5" s="482">
        <v>93735</v>
      </c>
      <c r="DB5" s="482"/>
      <c r="DC5" s="482"/>
      <c r="DD5" s="482"/>
      <c r="DE5" s="482"/>
    </row>
    <row r="6" spans="1:109" ht="53.25" customHeight="1">
      <c r="A6" s="483" t="s">
        <v>167</v>
      </c>
      <c r="B6" s="484">
        <f>B4+B5</f>
        <v>133581</v>
      </c>
      <c r="C6" s="484">
        <f aca="true" t="shared" si="0" ref="C6:M6">C4+C5</f>
        <v>116547</v>
      </c>
      <c r="D6" s="484">
        <f t="shared" si="0"/>
        <v>119138</v>
      </c>
      <c r="E6" s="484">
        <f t="shared" si="0"/>
        <v>92011</v>
      </c>
      <c r="F6" s="484">
        <f t="shared" si="0"/>
        <v>86569</v>
      </c>
      <c r="G6" s="484">
        <f t="shared" si="0"/>
        <v>82336</v>
      </c>
      <c r="H6" s="484">
        <f t="shared" si="0"/>
        <v>88657</v>
      </c>
      <c r="I6" s="484">
        <f t="shared" si="0"/>
        <v>91755</v>
      </c>
      <c r="J6" s="484">
        <f t="shared" si="0"/>
        <v>74224</v>
      </c>
      <c r="K6" s="484">
        <f t="shared" si="0"/>
        <v>87404</v>
      </c>
      <c r="L6" s="484">
        <f t="shared" si="0"/>
        <v>101618</v>
      </c>
      <c r="M6" s="484">
        <f t="shared" si="0"/>
        <v>120348</v>
      </c>
      <c r="N6" s="484">
        <f>N4+N5</f>
        <v>134451</v>
      </c>
      <c r="O6" s="484">
        <f aca="true" t="shared" si="1" ref="O6:Y6">O4+O5</f>
        <v>119847</v>
      </c>
      <c r="P6" s="484">
        <f t="shared" si="1"/>
        <v>118105</v>
      </c>
      <c r="Q6" s="484">
        <f t="shared" si="1"/>
        <v>94620</v>
      </c>
      <c r="R6" s="484">
        <f t="shared" si="1"/>
        <v>87167</v>
      </c>
      <c r="S6" s="484">
        <f t="shared" si="1"/>
        <v>82965</v>
      </c>
      <c r="T6" s="484">
        <f t="shared" si="1"/>
        <v>88359</v>
      </c>
      <c r="U6" s="484">
        <f t="shared" si="1"/>
        <v>89847</v>
      </c>
      <c r="V6" s="484">
        <f t="shared" si="1"/>
        <v>75691</v>
      </c>
      <c r="W6" s="484">
        <f t="shared" si="1"/>
        <v>71648</v>
      </c>
      <c r="X6" s="484">
        <f t="shared" si="1"/>
        <v>75125.83540000001</v>
      </c>
      <c r="Y6" s="484">
        <f t="shared" si="1"/>
        <v>94255</v>
      </c>
      <c r="Z6" s="484">
        <f>Z4+Z5</f>
        <v>102670.4</v>
      </c>
      <c r="AA6" s="484">
        <f aca="true" t="shared" si="2" ref="AA6:AK6">AA4+AA5</f>
        <v>88101.3</v>
      </c>
      <c r="AB6" s="484">
        <f t="shared" si="2"/>
        <v>89895.69999999994</v>
      </c>
      <c r="AC6" s="484">
        <f t="shared" si="2"/>
        <v>73751</v>
      </c>
      <c r="AD6" s="484">
        <f t="shared" si="2"/>
        <v>73097.59999999995</v>
      </c>
      <c r="AE6" s="484">
        <f t="shared" si="2"/>
        <v>68597</v>
      </c>
      <c r="AF6" s="484">
        <f t="shared" si="2"/>
        <v>75668.72231999999</v>
      </c>
      <c r="AG6" s="484">
        <f t="shared" si="2"/>
        <v>78857.50150399999</v>
      </c>
      <c r="AH6" s="484">
        <f t="shared" si="2"/>
        <v>70750</v>
      </c>
      <c r="AI6" s="484">
        <f t="shared" si="2"/>
        <v>76066.44225254646</v>
      </c>
      <c r="AJ6" s="484">
        <f t="shared" si="2"/>
        <v>87175.27644485339</v>
      </c>
      <c r="AK6" s="484">
        <f t="shared" si="2"/>
        <v>101131.99226523527</v>
      </c>
      <c r="AL6" s="484">
        <f>AL4+AL5</f>
        <v>111514.94663816002</v>
      </c>
      <c r="AM6" s="484">
        <f aca="true" t="shared" si="3" ref="AM6:BC6">AM4+AM5</f>
        <v>103368.16558700056</v>
      </c>
      <c r="AN6" s="484">
        <f t="shared" si="3"/>
        <v>90741</v>
      </c>
      <c r="AO6" s="484">
        <f t="shared" si="3"/>
        <v>81768.7</v>
      </c>
      <c r="AP6" s="484">
        <f t="shared" si="3"/>
        <v>73551.6</v>
      </c>
      <c r="AQ6" s="484">
        <f t="shared" si="3"/>
        <v>74437</v>
      </c>
      <c r="AR6" s="484">
        <f t="shared" si="3"/>
        <v>81607.41117821904</v>
      </c>
      <c r="AS6" s="484">
        <f t="shared" si="3"/>
        <v>82166</v>
      </c>
      <c r="AT6" s="484">
        <f t="shared" si="3"/>
        <v>71368</v>
      </c>
      <c r="AU6" s="484">
        <f t="shared" si="3"/>
        <v>73675.2605731253</v>
      </c>
      <c r="AV6" s="484">
        <f t="shared" si="3"/>
        <v>83339.93203598988</v>
      </c>
      <c r="AW6" s="484">
        <f t="shared" si="3"/>
        <v>113909</v>
      </c>
      <c r="AX6" s="484">
        <f t="shared" si="3"/>
        <v>113064.63907174744</v>
      </c>
      <c r="AY6" s="484">
        <f t="shared" si="3"/>
        <v>101139.64637633893</v>
      </c>
      <c r="AZ6" s="484">
        <f t="shared" si="3"/>
        <v>102383.88409447555</v>
      </c>
      <c r="BA6" s="484">
        <f t="shared" si="3"/>
        <v>82931.25579031697</v>
      </c>
      <c r="BB6" s="485">
        <f t="shared" si="3"/>
        <v>76448</v>
      </c>
      <c r="BC6" s="485">
        <f t="shared" si="3"/>
        <v>77731</v>
      </c>
      <c r="BD6" s="485">
        <v>83098</v>
      </c>
      <c r="BE6" s="485">
        <v>86000</v>
      </c>
      <c r="BF6" s="485">
        <v>74939</v>
      </c>
      <c r="BG6" s="486">
        <f aca="true" t="shared" si="4" ref="BG6:BL6">BG4+BG5</f>
        <v>80948.41337207724</v>
      </c>
      <c r="BH6" s="486">
        <f t="shared" si="4"/>
        <v>89650.85713601354</v>
      </c>
      <c r="BI6" s="486">
        <f t="shared" si="4"/>
        <v>117709.22692911427</v>
      </c>
      <c r="BJ6" s="486">
        <f t="shared" si="4"/>
        <v>111487</v>
      </c>
      <c r="BK6" s="486">
        <f t="shared" si="4"/>
        <v>96015</v>
      </c>
      <c r="BL6" s="486">
        <f t="shared" si="4"/>
        <v>98168</v>
      </c>
      <c r="BM6" s="486">
        <v>87995</v>
      </c>
      <c r="BN6" s="486">
        <v>82234</v>
      </c>
      <c r="BO6" s="485">
        <f aca="true" t="shared" si="5" ref="BO6:DA6">BO4+BO5</f>
        <v>76165</v>
      </c>
      <c r="BP6" s="485">
        <f t="shared" si="5"/>
        <v>80644</v>
      </c>
      <c r="BQ6" s="485">
        <f t="shared" si="5"/>
        <v>84527</v>
      </c>
      <c r="BR6" s="485">
        <f t="shared" si="5"/>
        <v>74849</v>
      </c>
      <c r="BS6" s="485">
        <f t="shared" si="5"/>
        <v>81666</v>
      </c>
      <c r="BT6" s="486">
        <f t="shared" si="5"/>
        <v>104912</v>
      </c>
      <c r="BU6" s="486">
        <f t="shared" si="5"/>
        <v>122962</v>
      </c>
      <c r="BV6" s="486">
        <f t="shared" si="5"/>
        <v>144343</v>
      </c>
      <c r="BW6" s="486">
        <f t="shared" si="5"/>
        <v>124552</v>
      </c>
      <c r="BX6" s="486">
        <f t="shared" si="5"/>
        <v>125140</v>
      </c>
      <c r="BY6" s="486">
        <f t="shared" si="5"/>
        <v>108205</v>
      </c>
      <c r="BZ6" s="486">
        <f t="shared" si="5"/>
        <v>99393</v>
      </c>
      <c r="CA6" s="486">
        <f t="shared" si="5"/>
        <v>97990</v>
      </c>
      <c r="CB6" s="486">
        <f t="shared" si="5"/>
        <v>112808</v>
      </c>
      <c r="CC6" s="486">
        <f t="shared" si="5"/>
        <v>111346</v>
      </c>
      <c r="CD6" s="486">
        <f t="shared" si="5"/>
        <v>96576</v>
      </c>
      <c r="CE6" s="486">
        <f t="shared" si="5"/>
        <v>100354</v>
      </c>
      <c r="CF6" s="486">
        <f t="shared" si="5"/>
        <v>109256</v>
      </c>
      <c r="CG6" s="486">
        <f t="shared" si="5"/>
        <v>136555</v>
      </c>
      <c r="CH6" s="486">
        <f t="shared" si="5"/>
        <v>141364</v>
      </c>
      <c r="CI6" s="486">
        <f t="shared" si="5"/>
        <v>117776</v>
      </c>
      <c r="CJ6" s="486">
        <f t="shared" si="5"/>
        <v>120648</v>
      </c>
      <c r="CK6" s="486">
        <f t="shared" si="5"/>
        <v>98846</v>
      </c>
      <c r="CL6" s="486">
        <f t="shared" si="5"/>
        <v>100460</v>
      </c>
      <c r="CM6" s="486">
        <f t="shared" si="5"/>
        <v>97468</v>
      </c>
      <c r="CN6" s="486">
        <f t="shared" si="5"/>
        <v>107287</v>
      </c>
      <c r="CO6" s="486">
        <f t="shared" si="5"/>
        <v>108153</v>
      </c>
      <c r="CP6" s="486">
        <f t="shared" si="5"/>
        <v>94922</v>
      </c>
      <c r="CQ6" s="486">
        <f t="shared" si="5"/>
        <v>101041</v>
      </c>
      <c r="CR6" s="486">
        <f t="shared" si="5"/>
        <v>113621</v>
      </c>
      <c r="CS6" s="486">
        <f t="shared" si="5"/>
        <v>144915</v>
      </c>
      <c r="CT6" s="486">
        <f t="shared" si="5"/>
        <v>137450</v>
      </c>
      <c r="CU6" s="486">
        <f t="shared" si="5"/>
        <v>107956</v>
      </c>
      <c r="CV6" s="486">
        <f t="shared" si="5"/>
        <v>104681</v>
      </c>
      <c r="CW6" s="486">
        <f t="shared" si="5"/>
        <v>94796</v>
      </c>
      <c r="CX6" s="486">
        <f t="shared" si="5"/>
        <v>91211</v>
      </c>
      <c r="CY6" s="486">
        <f t="shared" si="5"/>
        <v>93194</v>
      </c>
      <c r="CZ6" s="486">
        <f t="shared" si="5"/>
        <v>101723</v>
      </c>
      <c r="DA6" s="486">
        <f t="shared" si="5"/>
        <v>104061</v>
      </c>
      <c r="DB6" s="486"/>
      <c r="DC6" s="486"/>
      <c r="DD6" s="486"/>
      <c r="DE6" s="486"/>
    </row>
    <row r="7" spans="1:109" ht="64.5" customHeight="1">
      <c r="A7" s="480" t="s">
        <v>168</v>
      </c>
      <c r="B7" s="470">
        <v>129227</v>
      </c>
      <c r="C7" s="470">
        <v>94179</v>
      </c>
      <c r="D7" s="470">
        <v>105100</v>
      </c>
      <c r="E7" s="470">
        <v>60378</v>
      </c>
      <c r="F7" s="470">
        <v>63287</v>
      </c>
      <c r="G7" s="470">
        <v>49183</v>
      </c>
      <c r="H7" s="470">
        <v>63850</v>
      </c>
      <c r="I7" s="470">
        <v>57347</v>
      </c>
      <c r="J7" s="470">
        <v>37174</v>
      </c>
      <c r="K7" s="470">
        <v>62743</v>
      </c>
      <c r="L7" s="470">
        <v>84803</v>
      </c>
      <c r="M7" s="470">
        <v>115683</v>
      </c>
      <c r="N7" s="471">
        <v>121842</v>
      </c>
      <c r="O7" s="471">
        <v>93308</v>
      </c>
      <c r="P7" s="471">
        <v>102285</v>
      </c>
      <c r="Q7" s="471">
        <v>58436</v>
      </c>
      <c r="R7" s="471">
        <v>73452</v>
      </c>
      <c r="S7" s="471">
        <v>57085</v>
      </c>
      <c r="T7" s="471">
        <v>41963</v>
      </c>
      <c r="U7" s="471">
        <v>57828</v>
      </c>
      <c r="V7" s="472">
        <v>17974</v>
      </c>
      <c r="W7" s="472">
        <v>28109</v>
      </c>
      <c r="X7" s="472">
        <v>36566.1646</v>
      </c>
      <c r="Y7" s="472">
        <v>89967</v>
      </c>
      <c r="Z7" s="470">
        <v>272543</v>
      </c>
      <c r="AA7" s="470">
        <v>132156.9</v>
      </c>
      <c r="AB7" s="470">
        <v>128620.29999999996</v>
      </c>
      <c r="AC7" s="470">
        <v>38393</v>
      </c>
      <c r="AD7" s="470">
        <v>46394.90000000001</v>
      </c>
      <c r="AE7" s="473">
        <v>27474</v>
      </c>
      <c r="AF7" s="470">
        <v>33258.8</v>
      </c>
      <c r="AG7" s="470">
        <v>21828.57549599983</v>
      </c>
      <c r="AH7" s="474">
        <v>36050</v>
      </c>
      <c r="AI7" s="470">
        <v>49817.86155161835</v>
      </c>
      <c r="AJ7" s="470">
        <v>97497.21862014853</v>
      </c>
      <c r="AK7" s="470">
        <v>136397.42094075374</v>
      </c>
      <c r="AL7" s="470">
        <v>150538.1555344885</v>
      </c>
      <c r="AM7" s="470">
        <v>298929.7740936682</v>
      </c>
      <c r="AN7" s="470">
        <v>238955</v>
      </c>
      <c r="AO7" s="470">
        <v>162539.6</v>
      </c>
      <c r="AP7" s="470">
        <v>114548.5</v>
      </c>
      <c r="AQ7" s="470">
        <v>120316</v>
      </c>
      <c r="AR7" s="470">
        <v>162710.3293162182</v>
      </c>
      <c r="AS7" s="470">
        <v>163857</v>
      </c>
      <c r="AT7" s="470">
        <v>126268</v>
      </c>
      <c r="AU7" s="470">
        <v>98541.51020612563</v>
      </c>
      <c r="AV7" s="470">
        <v>146332.13084949923</v>
      </c>
      <c r="AW7" s="470">
        <v>255691</v>
      </c>
      <c r="AX7" s="474">
        <v>245824.78001080157</v>
      </c>
      <c r="AY7" s="474">
        <v>223001.51944431197</v>
      </c>
      <c r="AZ7" s="474">
        <v>222867.5001876004</v>
      </c>
      <c r="BA7" s="474">
        <v>133430.424051242</v>
      </c>
      <c r="BB7" s="481">
        <v>122333</v>
      </c>
      <c r="BC7" s="481">
        <v>128510</v>
      </c>
      <c r="BD7" s="481">
        <v>153798</v>
      </c>
      <c r="BE7" s="481">
        <v>131853</v>
      </c>
      <c r="BF7" s="481">
        <v>98037</v>
      </c>
      <c r="BG7" s="482">
        <v>163944.8536010838</v>
      </c>
      <c r="BH7" s="482">
        <v>193906.52488767053</v>
      </c>
      <c r="BI7" s="482">
        <v>293067.93508511566</v>
      </c>
      <c r="BJ7" s="482">
        <v>233256</v>
      </c>
      <c r="BK7" s="482">
        <v>170191</v>
      </c>
      <c r="BL7" s="482">
        <v>178112</v>
      </c>
      <c r="BM7" s="482">
        <v>118651</v>
      </c>
      <c r="BN7" s="482">
        <v>117129</v>
      </c>
      <c r="BO7" s="481">
        <v>94707</v>
      </c>
      <c r="BP7" s="481">
        <v>113486</v>
      </c>
      <c r="BQ7" s="482">
        <v>117658</v>
      </c>
      <c r="BR7" s="482">
        <v>81085</v>
      </c>
      <c r="BS7" s="482">
        <v>103813</v>
      </c>
      <c r="BT7" s="482">
        <v>74755</v>
      </c>
      <c r="BU7" s="482">
        <v>117469</v>
      </c>
      <c r="BV7" s="482">
        <v>107278</v>
      </c>
      <c r="BW7" s="482">
        <v>63833</v>
      </c>
      <c r="BX7" s="482">
        <v>70440</v>
      </c>
      <c r="BY7" s="482">
        <v>48858</v>
      </c>
      <c r="BZ7" s="482">
        <v>48192</v>
      </c>
      <c r="CA7" s="482">
        <v>35193</v>
      </c>
      <c r="CB7" s="481">
        <v>51355</v>
      </c>
      <c r="CC7" s="482">
        <v>43671</v>
      </c>
      <c r="CD7" s="482">
        <v>19572</v>
      </c>
      <c r="CE7" s="482">
        <v>42352</v>
      </c>
      <c r="CF7" s="482">
        <v>50771</v>
      </c>
      <c r="CG7" s="482">
        <v>87385</v>
      </c>
      <c r="CH7" s="482">
        <v>91710</v>
      </c>
      <c r="CI7" s="482">
        <v>44565</v>
      </c>
      <c r="CJ7" s="482">
        <v>50978</v>
      </c>
      <c r="CK7" s="482">
        <v>23653</v>
      </c>
      <c r="CL7" s="482">
        <v>28291</v>
      </c>
      <c r="CM7" s="482">
        <v>15320</v>
      </c>
      <c r="CN7" s="481">
        <v>25137</v>
      </c>
      <c r="CO7" s="482">
        <v>21142</v>
      </c>
      <c r="CP7" s="482">
        <v>4878</v>
      </c>
      <c r="CQ7" s="482">
        <v>29173</v>
      </c>
      <c r="CR7" s="482">
        <v>44592</v>
      </c>
      <c r="CS7" s="482">
        <v>68513</v>
      </c>
      <c r="CT7" s="482">
        <v>102343</v>
      </c>
      <c r="CU7" s="482">
        <v>47392</v>
      </c>
      <c r="CV7" s="482">
        <v>51553</v>
      </c>
      <c r="CW7" s="482">
        <v>32612</v>
      </c>
      <c r="CX7" s="482">
        <v>31738</v>
      </c>
      <c r="CY7" s="482">
        <v>43366</v>
      </c>
      <c r="CZ7" s="481">
        <v>29075</v>
      </c>
      <c r="DA7" s="482">
        <v>22164</v>
      </c>
      <c r="DB7" s="482"/>
      <c r="DC7" s="482"/>
      <c r="DD7" s="482"/>
      <c r="DE7" s="482"/>
    </row>
    <row r="8" spans="1:109" ht="69.75" customHeight="1">
      <c r="A8" s="480" t="s">
        <v>169</v>
      </c>
      <c r="B8" s="474">
        <f>B7+B6</f>
        <v>262808</v>
      </c>
      <c r="C8" s="474">
        <f aca="true" t="shared" si="6" ref="C8:M8">C7+C6</f>
        <v>210726</v>
      </c>
      <c r="D8" s="474">
        <f t="shared" si="6"/>
        <v>224238</v>
      </c>
      <c r="E8" s="474">
        <f t="shared" si="6"/>
        <v>152389</v>
      </c>
      <c r="F8" s="474">
        <f t="shared" si="6"/>
        <v>149856</v>
      </c>
      <c r="G8" s="474">
        <f t="shared" si="6"/>
        <v>131519</v>
      </c>
      <c r="H8" s="474">
        <f t="shared" si="6"/>
        <v>152507</v>
      </c>
      <c r="I8" s="474">
        <f t="shared" si="6"/>
        <v>149102</v>
      </c>
      <c r="J8" s="474">
        <f t="shared" si="6"/>
        <v>111398</v>
      </c>
      <c r="K8" s="474">
        <f t="shared" si="6"/>
        <v>150147</v>
      </c>
      <c r="L8" s="474">
        <f t="shared" si="6"/>
        <v>186421</v>
      </c>
      <c r="M8" s="474">
        <f t="shared" si="6"/>
        <v>236031</v>
      </c>
      <c r="N8" s="474">
        <f>N7+N6</f>
        <v>256293</v>
      </c>
      <c r="O8" s="474">
        <f aca="true" t="shared" si="7" ref="O8:Y8">O7+O6</f>
        <v>213155</v>
      </c>
      <c r="P8" s="474">
        <f t="shared" si="7"/>
        <v>220390</v>
      </c>
      <c r="Q8" s="474">
        <f t="shared" si="7"/>
        <v>153056</v>
      </c>
      <c r="R8" s="474">
        <f t="shared" si="7"/>
        <v>160619</v>
      </c>
      <c r="S8" s="474">
        <f t="shared" si="7"/>
        <v>140050</v>
      </c>
      <c r="T8" s="474">
        <f t="shared" si="7"/>
        <v>130322</v>
      </c>
      <c r="U8" s="474">
        <f t="shared" si="7"/>
        <v>147675</v>
      </c>
      <c r="V8" s="474">
        <f t="shared" si="7"/>
        <v>93665</v>
      </c>
      <c r="W8" s="474">
        <f t="shared" si="7"/>
        <v>99757</v>
      </c>
      <c r="X8" s="474">
        <f t="shared" si="7"/>
        <v>111692</v>
      </c>
      <c r="Y8" s="474">
        <f t="shared" si="7"/>
        <v>184222</v>
      </c>
      <c r="Z8" s="474">
        <f>Z7+Z6</f>
        <v>375213.4</v>
      </c>
      <c r="AA8" s="474">
        <f aca="true" t="shared" si="8" ref="AA8:AK8">AA7+AA6</f>
        <v>220258.2</v>
      </c>
      <c r="AB8" s="474">
        <f t="shared" si="8"/>
        <v>218515.99999999988</v>
      </c>
      <c r="AC8" s="474">
        <f t="shared" si="8"/>
        <v>112144</v>
      </c>
      <c r="AD8" s="474">
        <f t="shared" si="8"/>
        <v>119492.49999999996</v>
      </c>
      <c r="AE8" s="474">
        <f t="shared" si="8"/>
        <v>96071</v>
      </c>
      <c r="AF8" s="474">
        <f t="shared" si="8"/>
        <v>108927.52231999999</v>
      </c>
      <c r="AG8" s="474">
        <f t="shared" si="8"/>
        <v>100686.07699999982</v>
      </c>
      <c r="AH8" s="474">
        <f t="shared" si="8"/>
        <v>106800</v>
      </c>
      <c r="AI8" s="474">
        <f t="shared" si="8"/>
        <v>125884.30380416481</v>
      </c>
      <c r="AJ8" s="474">
        <f t="shared" si="8"/>
        <v>184672.49506500192</v>
      </c>
      <c r="AK8" s="474">
        <f t="shared" si="8"/>
        <v>237529.413205989</v>
      </c>
      <c r="AL8" s="474">
        <f>AL7+AL6</f>
        <v>262053.10217264853</v>
      </c>
      <c r="AM8" s="474">
        <f aca="true" t="shared" si="9" ref="AM8:BC8">AM7+AM6</f>
        <v>402297.93968066876</v>
      </c>
      <c r="AN8" s="474">
        <f t="shared" si="9"/>
        <v>329696</v>
      </c>
      <c r="AO8" s="474">
        <f t="shared" si="9"/>
        <v>244308.3</v>
      </c>
      <c r="AP8" s="474">
        <f t="shared" si="9"/>
        <v>188100.1</v>
      </c>
      <c r="AQ8" s="474">
        <f t="shared" si="9"/>
        <v>194753</v>
      </c>
      <c r="AR8" s="474">
        <f t="shared" si="9"/>
        <v>244317.74049443725</v>
      </c>
      <c r="AS8" s="474">
        <f t="shared" si="9"/>
        <v>246023</v>
      </c>
      <c r="AT8" s="474">
        <f t="shared" si="9"/>
        <v>197636</v>
      </c>
      <c r="AU8" s="474">
        <f t="shared" si="9"/>
        <v>172216.77077925095</v>
      </c>
      <c r="AV8" s="474">
        <f t="shared" si="9"/>
        <v>229672.0628854891</v>
      </c>
      <c r="AW8" s="474">
        <f t="shared" si="9"/>
        <v>369600</v>
      </c>
      <c r="AX8" s="474">
        <f t="shared" si="9"/>
        <v>358889.419082549</v>
      </c>
      <c r="AY8" s="474">
        <f t="shared" si="9"/>
        <v>324141.1658206509</v>
      </c>
      <c r="AZ8" s="474">
        <f t="shared" si="9"/>
        <v>325251.384282076</v>
      </c>
      <c r="BA8" s="474">
        <f t="shared" si="9"/>
        <v>216361.67984155897</v>
      </c>
      <c r="BB8" s="481">
        <f t="shared" si="9"/>
        <v>198781</v>
      </c>
      <c r="BC8" s="481">
        <f t="shared" si="9"/>
        <v>206241</v>
      </c>
      <c r="BD8" s="481">
        <v>236896</v>
      </c>
      <c r="BE8" s="481">
        <v>217853</v>
      </c>
      <c r="BF8" s="481">
        <v>172976</v>
      </c>
      <c r="BG8" s="482">
        <f aca="true" t="shared" si="10" ref="BG8:BL8">BG7+BG6</f>
        <v>244893.26697316102</v>
      </c>
      <c r="BH8" s="482">
        <f t="shared" si="10"/>
        <v>283557.3820236841</v>
      </c>
      <c r="BI8" s="482">
        <f t="shared" si="10"/>
        <v>410777.1620142299</v>
      </c>
      <c r="BJ8" s="482">
        <f t="shared" si="10"/>
        <v>344743</v>
      </c>
      <c r="BK8" s="482">
        <f t="shared" si="10"/>
        <v>266206</v>
      </c>
      <c r="BL8" s="482">
        <f t="shared" si="10"/>
        <v>276280</v>
      </c>
      <c r="BM8" s="482">
        <v>206646</v>
      </c>
      <c r="BN8" s="482">
        <v>199363</v>
      </c>
      <c r="BO8" s="481">
        <f>BO6+BO7</f>
        <v>170872</v>
      </c>
      <c r="BP8" s="481">
        <f>BP6+BP7</f>
        <v>194130</v>
      </c>
      <c r="BQ8" s="481">
        <f>BQ6+BQ7</f>
        <v>202185</v>
      </c>
      <c r="BR8" s="481">
        <f>BR6+BR7</f>
        <v>155934</v>
      </c>
      <c r="BS8" s="481">
        <f>BS6+BS7</f>
        <v>185479</v>
      </c>
      <c r="BT8" s="482">
        <f>BT7+BT6</f>
        <v>179667</v>
      </c>
      <c r="BU8" s="482">
        <f>BU7+BU6</f>
        <v>240431</v>
      </c>
      <c r="BV8" s="482">
        <f aca="true" t="shared" si="11" ref="BV8:DA8">BV7+BV6</f>
        <v>251621</v>
      </c>
      <c r="BW8" s="482">
        <f t="shared" si="11"/>
        <v>188385</v>
      </c>
      <c r="BX8" s="482">
        <f t="shared" si="11"/>
        <v>195580</v>
      </c>
      <c r="BY8" s="482">
        <f t="shared" si="11"/>
        <v>157063</v>
      </c>
      <c r="BZ8" s="482">
        <f t="shared" si="11"/>
        <v>147585</v>
      </c>
      <c r="CA8" s="482">
        <f t="shared" si="11"/>
        <v>133183</v>
      </c>
      <c r="CB8" s="482">
        <f t="shared" si="11"/>
        <v>164163</v>
      </c>
      <c r="CC8" s="482">
        <f t="shared" si="11"/>
        <v>155017</v>
      </c>
      <c r="CD8" s="482">
        <f t="shared" si="11"/>
        <v>116148</v>
      </c>
      <c r="CE8" s="482">
        <f t="shared" si="11"/>
        <v>142706</v>
      </c>
      <c r="CF8" s="482">
        <f t="shared" si="11"/>
        <v>160027</v>
      </c>
      <c r="CG8" s="482">
        <f t="shared" si="11"/>
        <v>223940</v>
      </c>
      <c r="CH8" s="482">
        <f t="shared" si="11"/>
        <v>233074</v>
      </c>
      <c r="CI8" s="482">
        <f t="shared" si="11"/>
        <v>162341</v>
      </c>
      <c r="CJ8" s="482">
        <f t="shared" si="11"/>
        <v>171626</v>
      </c>
      <c r="CK8" s="482">
        <f t="shared" si="11"/>
        <v>122499</v>
      </c>
      <c r="CL8" s="482">
        <f t="shared" si="11"/>
        <v>128751</v>
      </c>
      <c r="CM8" s="482">
        <f t="shared" si="11"/>
        <v>112788</v>
      </c>
      <c r="CN8" s="482">
        <f t="shared" si="11"/>
        <v>132424</v>
      </c>
      <c r="CO8" s="482">
        <f t="shared" si="11"/>
        <v>129295</v>
      </c>
      <c r="CP8" s="482">
        <f t="shared" si="11"/>
        <v>99800</v>
      </c>
      <c r="CQ8" s="482">
        <f t="shared" si="11"/>
        <v>130214</v>
      </c>
      <c r="CR8" s="482">
        <f t="shared" si="11"/>
        <v>158213</v>
      </c>
      <c r="CS8" s="482">
        <f t="shared" si="11"/>
        <v>213428</v>
      </c>
      <c r="CT8" s="482">
        <f t="shared" si="11"/>
        <v>239793</v>
      </c>
      <c r="CU8" s="482">
        <f t="shared" si="11"/>
        <v>155348</v>
      </c>
      <c r="CV8" s="482">
        <f t="shared" si="11"/>
        <v>156234</v>
      </c>
      <c r="CW8" s="482">
        <f t="shared" si="11"/>
        <v>127408</v>
      </c>
      <c r="CX8" s="482">
        <f t="shared" si="11"/>
        <v>122949</v>
      </c>
      <c r="CY8" s="482">
        <f t="shared" si="11"/>
        <v>136560</v>
      </c>
      <c r="CZ8" s="482">
        <f t="shared" si="11"/>
        <v>130798</v>
      </c>
      <c r="DA8" s="482">
        <f t="shared" si="11"/>
        <v>126225</v>
      </c>
      <c r="DB8" s="482"/>
      <c r="DC8" s="482"/>
      <c r="DD8" s="482"/>
      <c r="DE8" s="482"/>
    </row>
    <row r="9" spans="1:109" ht="58.5" customHeight="1">
      <c r="A9" s="483" t="s">
        <v>170</v>
      </c>
      <c r="B9" s="484">
        <v>644987</v>
      </c>
      <c r="C9" s="484">
        <v>568719</v>
      </c>
      <c r="D9" s="484">
        <v>589279</v>
      </c>
      <c r="E9" s="484">
        <v>462709</v>
      </c>
      <c r="F9" s="484">
        <v>448118</v>
      </c>
      <c r="G9" s="484">
        <v>427694</v>
      </c>
      <c r="H9" s="484">
        <v>467863</v>
      </c>
      <c r="I9" s="484">
        <v>493772</v>
      </c>
      <c r="J9" s="484">
        <v>439604</v>
      </c>
      <c r="K9" s="484">
        <v>489635</v>
      </c>
      <c r="L9" s="484">
        <v>557554</v>
      </c>
      <c r="M9" s="484">
        <v>639797</v>
      </c>
      <c r="N9" s="487">
        <v>675343</v>
      </c>
      <c r="O9" s="487">
        <v>608940</v>
      </c>
      <c r="P9" s="487">
        <v>610583</v>
      </c>
      <c r="Q9" s="487">
        <v>506275</v>
      </c>
      <c r="R9" s="487">
        <v>476500</v>
      </c>
      <c r="S9" s="487">
        <v>464120</v>
      </c>
      <c r="T9" s="487">
        <v>499241</v>
      </c>
      <c r="U9" s="487">
        <v>512024</v>
      </c>
      <c r="V9" s="488">
        <v>460893</v>
      </c>
      <c r="W9" s="488">
        <v>509793</v>
      </c>
      <c r="X9" s="488">
        <v>532126</v>
      </c>
      <c r="Y9" s="488">
        <v>660665</v>
      </c>
      <c r="Z9" s="488">
        <v>708263.6</v>
      </c>
      <c r="AA9" s="488">
        <v>623208</v>
      </c>
      <c r="AB9" s="488">
        <v>634087.2999999999</v>
      </c>
      <c r="AC9" s="488">
        <v>536286</v>
      </c>
      <c r="AD9" s="488">
        <v>533563.6</v>
      </c>
      <c r="AE9" s="488">
        <v>495139</v>
      </c>
      <c r="AF9" s="488">
        <v>545315.284</v>
      </c>
      <c r="AG9" s="488">
        <v>567282.352</v>
      </c>
      <c r="AH9" s="484">
        <v>512979</v>
      </c>
      <c r="AI9" s="488">
        <v>551132.227777105</v>
      </c>
      <c r="AJ9" s="488">
        <v>619654.863689371</v>
      </c>
      <c r="AK9" s="488">
        <v>710869.980760876</v>
      </c>
      <c r="AL9" s="488">
        <v>733972.936504737</v>
      </c>
      <c r="AM9" s="488">
        <v>680053.720967109</v>
      </c>
      <c r="AN9" s="488">
        <v>596982</v>
      </c>
      <c r="AO9" s="488">
        <v>537949.9</v>
      </c>
      <c r="AP9" s="488">
        <v>483890.9</v>
      </c>
      <c r="AQ9" s="488">
        <v>489723</v>
      </c>
      <c r="AR9" s="488">
        <v>536890.863014599</v>
      </c>
      <c r="AS9" s="488">
        <v>540566</v>
      </c>
      <c r="AT9" s="488">
        <v>469527</v>
      </c>
      <c r="AU9" s="488">
        <v>484705.661665298</v>
      </c>
      <c r="AV9" s="488">
        <v>548289.026552565</v>
      </c>
      <c r="AW9" s="488">
        <v>749398</v>
      </c>
      <c r="AX9" s="489">
        <v>743846.309682549</v>
      </c>
      <c r="AY9" s="489">
        <v>665392.4103706509</v>
      </c>
      <c r="AZ9" s="489">
        <v>673578.184832076</v>
      </c>
      <c r="BA9" s="488">
        <v>545600.367041559</v>
      </c>
      <c r="BB9" s="490">
        <v>502945</v>
      </c>
      <c r="BC9" s="491">
        <v>511390</v>
      </c>
      <c r="BD9" s="490">
        <v>546696</v>
      </c>
      <c r="BE9" s="490">
        <v>565789</v>
      </c>
      <c r="BF9" s="490">
        <v>493056</v>
      </c>
      <c r="BG9" s="487">
        <v>532555.3511320871</v>
      </c>
      <c r="BH9" s="487">
        <v>589808.270631668</v>
      </c>
      <c r="BI9" s="487">
        <v>774402.8087441729</v>
      </c>
      <c r="BJ9" s="489">
        <v>733468</v>
      </c>
      <c r="BK9" s="489">
        <v>631678</v>
      </c>
      <c r="BL9" s="489">
        <v>645837</v>
      </c>
      <c r="BM9" s="488">
        <v>578948</v>
      </c>
      <c r="BN9" s="487">
        <v>541016</v>
      </c>
      <c r="BO9" s="490">
        <v>501088</v>
      </c>
      <c r="BP9" s="490">
        <v>530554</v>
      </c>
      <c r="BQ9" s="487">
        <v>556098</v>
      </c>
      <c r="BR9" s="487">
        <v>492427</v>
      </c>
      <c r="BS9" s="487">
        <v>537280</v>
      </c>
      <c r="BT9" s="487">
        <v>546419</v>
      </c>
      <c r="BU9" s="487">
        <v>640431</v>
      </c>
      <c r="BV9" s="489">
        <v>686041</v>
      </c>
      <c r="BW9" s="489">
        <v>591978</v>
      </c>
      <c r="BX9" s="489">
        <v>594775</v>
      </c>
      <c r="BY9" s="488">
        <v>514282</v>
      </c>
      <c r="BZ9" s="487">
        <v>472405</v>
      </c>
      <c r="CA9" s="487">
        <v>465730</v>
      </c>
      <c r="CB9" s="490">
        <v>536160</v>
      </c>
      <c r="CC9" s="487">
        <v>529208</v>
      </c>
      <c r="CD9" s="487">
        <v>459012</v>
      </c>
      <c r="CE9" s="487">
        <v>476969</v>
      </c>
      <c r="CF9" s="487">
        <v>519281</v>
      </c>
      <c r="CG9" s="487">
        <v>649026</v>
      </c>
      <c r="CH9" s="489">
        <v>671884</v>
      </c>
      <c r="CI9" s="489">
        <v>559772</v>
      </c>
      <c r="CJ9" s="489">
        <v>573419</v>
      </c>
      <c r="CK9" s="488">
        <v>469803</v>
      </c>
      <c r="CL9" s="487">
        <v>477469</v>
      </c>
      <c r="CM9" s="487">
        <v>463248</v>
      </c>
      <c r="CN9" s="491">
        <v>509916</v>
      </c>
      <c r="CO9" s="487">
        <v>514034</v>
      </c>
      <c r="CP9" s="487">
        <v>451153</v>
      </c>
      <c r="CQ9" s="487">
        <v>480236</v>
      </c>
      <c r="CR9" s="487">
        <v>540024</v>
      </c>
      <c r="CS9" s="487">
        <v>688760</v>
      </c>
      <c r="CT9" s="489">
        <v>715886</v>
      </c>
      <c r="CU9" s="489">
        <v>562270</v>
      </c>
      <c r="CV9" s="489">
        <v>545214</v>
      </c>
      <c r="CW9" s="488">
        <v>493731</v>
      </c>
      <c r="CX9" s="487">
        <v>475055</v>
      </c>
      <c r="CY9" s="487">
        <v>485386</v>
      </c>
      <c r="CZ9" s="491">
        <v>529805</v>
      </c>
      <c r="DA9" s="487">
        <v>541989</v>
      </c>
      <c r="DB9" s="487"/>
      <c r="DC9" s="487"/>
      <c r="DD9" s="487"/>
      <c r="DE9" s="487"/>
    </row>
    <row r="89" spans="97:99" ht="12.75">
      <c r="CS89" s="1015" t="s">
        <v>443</v>
      </c>
      <c r="CT89" s="1015"/>
      <c r="CU89" s="1015"/>
    </row>
  </sheetData>
  <sheetProtection/>
  <mergeCells count="10">
    <mergeCell ref="CT2:DE2"/>
    <mergeCell ref="A1:CS1"/>
    <mergeCell ref="BJ2:BU2"/>
    <mergeCell ref="BV2:CG2"/>
    <mergeCell ref="CH2:CS2"/>
    <mergeCell ref="B2:M2"/>
    <mergeCell ref="N2:Y2"/>
    <mergeCell ref="Z2:AK2"/>
    <mergeCell ref="AL2:AW2"/>
    <mergeCell ref="AX2:BI2"/>
  </mergeCells>
  <printOptions/>
  <pageMargins left="0.25" right="0.25" top="0.75" bottom="0.75" header="0.3" footer="0.3"/>
  <pageSetup orientation="landscape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2017-11-17T13:30:36Z</dcterms:modified>
  <cp:category/>
  <cp:version/>
  <cp:contentType/>
  <cp:contentStatus/>
</cp:coreProperties>
</file>