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 6mI+m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Aferdita Bushi</author>
    <author>Aferdita</author>
  </authors>
  <commentList>
    <comment ref="BM5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prova te ardhurave tot.per vititn 2018</t>
        </r>
      </text>
    </comment>
    <comment ref="BM9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ark.tek Raiffeisen bank</t>
        </r>
      </text>
    </comment>
    <comment ref="AO12" authorId="1">
      <text>
        <r>
          <rPr>
            <b/>
            <sz val="9"/>
            <rFont val="Tahoma"/>
            <family val="2"/>
          </rPr>
          <t>Aferdita:</t>
        </r>
        <r>
          <rPr>
            <sz val="9"/>
            <rFont val="Tahoma"/>
            <family val="2"/>
          </rPr>
          <t xml:space="preserve">
derdhje per llogari te deb. Se A-91, I mbyllur I gjithe detyrimi.</t>
        </r>
      </text>
    </comment>
    <comment ref="BJ16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272000, is boja e printerave e parapaguar</t>
        </r>
      </text>
    </comment>
    <comment ref="AV18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taksa automjete+takse vendore</t>
        </r>
      </text>
    </comment>
    <comment ref="AV22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625.4 is 8471282.83lek
581 blerje valute is 10433600lek</t>
        </r>
      </text>
    </comment>
    <comment ref="BL23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shpenz.bil.udhetimi, viti 2017</t>
        </r>
      </text>
    </comment>
    <comment ref="BM26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paga:Raiffeisen bank</t>
        </r>
      </text>
    </comment>
    <comment ref="BN26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pagat tek Union  Bank</t>
        </r>
      </text>
    </comment>
    <comment ref="BJ30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KTHIM PAG.LICENSE.</t>
        </r>
      </text>
    </comment>
    <comment ref="AV31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kalim fond page per punonjesit union banke</t>
        </r>
      </text>
    </comment>
    <comment ref="AO34" authorId="1">
      <text>
        <r>
          <rPr>
            <b/>
            <sz val="9"/>
            <rFont val="Tahoma"/>
            <family val="2"/>
          </rPr>
          <t>Aferdita:</t>
        </r>
        <r>
          <rPr>
            <sz val="9"/>
            <rFont val="Tahoma"/>
            <family val="2"/>
          </rPr>
          <t xml:space="preserve">
derdhje e tep. Pra shpenz.yne dhe 55000 mbetet tek ne e ardhur tek pag.rreg.is shlyerje debie A-91</t>
        </r>
      </text>
    </comment>
    <comment ref="AV36" authorId="0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CEQET E ARKETUAR NE ARKEN LEK NGA VANA</t>
        </r>
      </text>
    </comment>
  </commentList>
</comments>
</file>

<file path=xl/sharedStrings.xml><?xml version="1.0" encoding="utf-8"?>
<sst xmlns="http://schemas.openxmlformats.org/spreadsheetml/2006/main" count="152" uniqueCount="91">
  <si>
    <t>Situacioni  12-mujori 2017</t>
  </si>
  <si>
    <t>Viti 2018</t>
  </si>
  <si>
    <t>Progresi    6 mujore</t>
  </si>
  <si>
    <t>Progresi   12 mujore</t>
  </si>
  <si>
    <t>Nr.</t>
  </si>
  <si>
    <t xml:space="preserve">E  m  ë  r  t  i  m  i  </t>
  </si>
  <si>
    <t xml:space="preserve">Viti </t>
  </si>
  <si>
    <t>Viti 2015</t>
  </si>
  <si>
    <t>Viti 2016</t>
  </si>
  <si>
    <t>Viti 2017</t>
  </si>
  <si>
    <t>Union          Bank</t>
  </si>
  <si>
    <t>Plan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</si>
  <si>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</si>
  <si>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</si>
  <si>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</si>
  <si>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</si>
  <si>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</si>
  <si>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</si>
  <si>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</si>
  <si>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</si>
  <si>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</si>
  <si>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</si>
  <si>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</si>
  <si>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</si>
  <si>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ARDHURAT</t>
  </si>
  <si>
    <t>SHPENZIME</t>
  </si>
  <si>
    <t>Fakti</t>
  </si>
  <si>
    <t>FAKTI</t>
  </si>
  <si>
    <t>I</t>
  </si>
  <si>
    <t>GJENDJA E LIKUJDITETIT ME 1/01/</t>
  </si>
  <si>
    <t>raiffeisen bank</t>
  </si>
  <si>
    <t>II</t>
  </si>
  <si>
    <t xml:space="preserve">TË  ARDHURAT E VITIT </t>
  </si>
  <si>
    <t>kl.7</t>
  </si>
  <si>
    <t>prova</t>
  </si>
  <si>
    <t>Nga pagesat e rregullimit  te liçensuarve</t>
  </si>
  <si>
    <t>a)</t>
  </si>
  <si>
    <t>KESH sh.a + OST sh.a+ OSSH</t>
  </si>
  <si>
    <t>751 bkt</t>
  </si>
  <si>
    <t>b)</t>
  </si>
  <si>
    <t>Operatorët e tjerë</t>
  </si>
  <si>
    <t>c)</t>
  </si>
  <si>
    <t>Per te arket.detyrime të prapamb.nga te liçensuarit</t>
  </si>
  <si>
    <t>482 deb.</t>
  </si>
  <si>
    <t>Nga interesa bankare shit,dok,dif.kemb,kuot.bashk.</t>
  </si>
  <si>
    <t>Te ardhura nga licenca</t>
  </si>
  <si>
    <t>ok</t>
  </si>
  <si>
    <t>Derdhje teper nga pg.erregullimit</t>
  </si>
  <si>
    <t>Derdhje gjoba Cezit  Min.Finc.te tjera, tel.cel</t>
  </si>
  <si>
    <t>III</t>
  </si>
  <si>
    <t>SHPENZIME OPERATIVE TE VITIT</t>
  </si>
  <si>
    <t>Blerje energji,avull,ujë</t>
  </si>
  <si>
    <t>OK</t>
  </si>
  <si>
    <t>618/1,618/2</t>
  </si>
  <si>
    <t>Blerje materiale të tjera (karburante,kancelari etj)</t>
  </si>
  <si>
    <t>llog. 401; 409</t>
  </si>
  <si>
    <t>Mirëmbajtje dhe riparime</t>
  </si>
  <si>
    <t xml:space="preserve">Prime sigurimi auto., taksa </t>
  </si>
  <si>
    <t>Sherbime nga të tretë</t>
  </si>
  <si>
    <t>Pagesa per konsulenca dhe zhvillimin e partnershipit</t>
  </si>
  <si>
    <t>Publikime për informimin dhe mbrojtjen e konsum.</t>
  </si>
  <si>
    <t>Udhëtime e dieta</t>
  </si>
  <si>
    <t>shpenzim bilet  udhetimi</t>
  </si>
  <si>
    <t>Shpenzime për post-telefon</t>
  </si>
  <si>
    <t>Komisione bankare</t>
  </si>
  <si>
    <t>Paga personeli, , pag.j.kohes.</t>
  </si>
  <si>
    <t>llog.421  Total</t>
  </si>
  <si>
    <t>Shpenz.  sigurime shoqërore, tatimi</t>
  </si>
  <si>
    <t>431; 442; 449.</t>
  </si>
  <si>
    <t>Shpenzime për pritje e percjellje</t>
  </si>
  <si>
    <t>Subvencione e ndihma të dhëna,  gjobe Cez</t>
  </si>
  <si>
    <t>Shpenzime të tjera financiare(h.nga shk.val. etj)</t>
  </si>
  <si>
    <t>kalim fondi Union Bank</t>
  </si>
  <si>
    <t>union bank</t>
  </si>
  <si>
    <t>fond rezerve</t>
  </si>
  <si>
    <t>Demshperblim   INSIGU</t>
  </si>
  <si>
    <t xml:space="preserve">Pagesa kreditoresh,kalim mjetesh fin. </t>
  </si>
  <si>
    <t xml:space="preserve">Shpenzime amortizimi, </t>
  </si>
  <si>
    <t>terheqje ceku</t>
  </si>
  <si>
    <t>terheqje ceku lek</t>
  </si>
  <si>
    <t>IV.</t>
  </si>
  <si>
    <t>Totali    shpenzimeve</t>
  </si>
  <si>
    <t>kl.6  ok</t>
  </si>
  <si>
    <t>INVESTIME</t>
  </si>
  <si>
    <t>kl.2</t>
  </si>
  <si>
    <t>Paisje zyre dhe informatike</t>
  </si>
  <si>
    <t>Mjete transporti</t>
  </si>
  <si>
    <t>V.</t>
  </si>
  <si>
    <t>Rikonstruksione dhe investime te tjera</t>
  </si>
  <si>
    <r>
      <t>GJENDJA E LIKUJDITETIT ME 31/12/</t>
    </r>
    <r>
      <rPr>
        <sz val="8"/>
        <rFont val="Times New Roman"/>
        <family val="1"/>
      </rPr>
      <t>(V=I+II-III-IV)</t>
    </r>
  </si>
  <si>
    <t xml:space="preserve">nevoja vjetore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</si>
</sst>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8"/>
      <color indexed="1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7"/>
      <name val="Garamond"/>
      <family val="1"/>
    </font>
    <font>
      <b/>
      <sz val="7"/>
      <name val="Garamond"/>
      <family val="1"/>
    </font>
    <font>
      <sz val="7"/>
      <color indexed="10"/>
      <name val="Arial Narrow"/>
      <family val="2"/>
    </font>
    <font>
      <sz val="9"/>
      <name val="Times New Roman"/>
      <family val="1"/>
    </font>
    <font>
      <sz val="8"/>
      <color indexed="30"/>
      <name val="Arial Narrow"/>
      <family val="2"/>
    </font>
    <font>
      <sz val="8"/>
      <color indexed="10"/>
      <name val="Times New Roman"/>
      <family val="1"/>
    </font>
    <font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sz val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Garamond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7"/>
      <color rgb="FFFF0000"/>
      <name val="Arial Narrow"/>
      <family val="2"/>
    </font>
    <font>
      <sz val="8"/>
      <color rgb="FF0070C0"/>
      <name val="Arial Narrow"/>
      <family val="2"/>
    </font>
    <font>
      <sz val="8"/>
      <color rgb="FFFF0000"/>
      <name val="Times New Roman"/>
      <family val="1"/>
    </font>
    <font>
      <sz val="8"/>
      <color rgb="FFFF0000"/>
      <name val="Arial Narrow"/>
      <family val="2"/>
    </font>
    <font>
      <b/>
      <i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0" fillId="16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2" fontId="4" fillId="0" borderId="13" xfId="0" applyNumberFormat="1" applyFont="1" applyBorder="1" applyAlignment="1">
      <alignment wrapText="1"/>
    </xf>
    <xf numFmtId="2" fontId="8" fillId="0" borderId="15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1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9" fillId="16" borderId="14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3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14" xfId="0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6" fillId="0" borderId="17" xfId="0" applyNumberFormat="1" applyFont="1" applyBorder="1" applyAlignment="1">
      <alignment/>
    </xf>
    <xf numFmtId="3" fontId="16" fillId="16" borderId="17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9" fillId="16" borderId="17" xfId="0" applyNumberFormat="1" applyFont="1" applyFill="1" applyBorder="1" applyAlignment="1">
      <alignment/>
    </xf>
    <xf numFmtId="3" fontId="8" fillId="0" borderId="20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0" xfId="0" applyFont="1" applyAlignment="1">
      <alignment/>
    </xf>
    <xf numFmtId="3" fontId="0" fillId="0" borderId="0" xfId="0" applyNumberFormat="1" applyAlignment="1">
      <alignment/>
    </xf>
    <xf numFmtId="3" fontId="15" fillId="0" borderId="14" xfId="0" applyNumberFormat="1" applyFont="1" applyFill="1" applyBorder="1" applyAlignment="1">
      <alignment/>
    </xf>
    <xf numFmtId="0" fontId="74" fillId="0" borderId="0" xfId="0" applyFont="1" applyAlignment="1">
      <alignment/>
    </xf>
    <xf numFmtId="3" fontId="22" fillId="0" borderId="14" xfId="0" applyNumberFormat="1" applyFont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/>
    </xf>
    <xf numFmtId="3" fontId="75" fillId="0" borderId="14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3" fontId="9" fillId="33" borderId="14" xfId="0" applyNumberFormat="1" applyFont="1" applyFill="1" applyBorder="1" applyAlignment="1">
      <alignment/>
    </xf>
    <xf numFmtId="0" fontId="72" fillId="0" borderId="0" xfId="0" applyFont="1" applyAlignment="1">
      <alignment/>
    </xf>
    <xf numFmtId="4" fontId="9" fillId="33" borderId="14" xfId="0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3" fontId="76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0" fontId="77" fillId="0" borderId="14" xfId="0" applyFont="1" applyBorder="1" applyAlignment="1">
      <alignment/>
    </xf>
    <xf numFmtId="3" fontId="78" fillId="34" borderId="14" xfId="0" applyNumberFormat="1" applyFont="1" applyFill="1" applyBorder="1" applyAlignment="1">
      <alignment/>
    </xf>
    <xf numFmtId="3" fontId="78" fillId="0" borderId="14" xfId="0" applyNumberFormat="1" applyFont="1" applyBorder="1" applyAlignment="1">
      <alignment/>
    </xf>
    <xf numFmtId="3" fontId="79" fillId="0" borderId="14" xfId="0" applyNumberFormat="1" applyFont="1" applyBorder="1" applyAlignment="1">
      <alignment/>
    </xf>
    <xf numFmtId="3" fontId="72" fillId="0" borderId="0" xfId="0" applyNumberFormat="1" applyFont="1" applyFill="1" applyBorder="1" applyAlignment="1">
      <alignment/>
    </xf>
    <xf numFmtId="3" fontId="78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5" fillId="0" borderId="22" xfId="0" applyNumberFormat="1" applyFont="1" applyFill="1" applyBorder="1" applyAlignment="1">
      <alignment/>
    </xf>
    <xf numFmtId="3" fontId="7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3" fontId="72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31" fillId="0" borderId="14" xfId="0" applyNumberFormat="1" applyFont="1" applyBorder="1" applyAlignment="1">
      <alignment/>
    </xf>
    <xf numFmtId="3" fontId="10" fillId="34" borderId="14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3" fontId="10" fillId="33" borderId="14" xfId="0" applyNumberFormat="1" applyFont="1" applyFill="1" applyBorder="1" applyAlignment="1">
      <alignment/>
    </xf>
    <xf numFmtId="0" fontId="73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3" fontId="34" fillId="0" borderId="14" xfId="0" applyNumberFormat="1" applyFont="1" applyBorder="1" applyAlignment="1">
      <alignment/>
    </xf>
    <xf numFmtId="0" fontId="35" fillId="0" borderId="14" xfId="0" applyFont="1" applyFill="1" applyBorder="1" applyAlignment="1">
      <alignment/>
    </xf>
    <xf numFmtId="0" fontId="73" fillId="0" borderId="18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2" fontId="4" fillId="0" borderId="3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R11" sqref="BR11"/>
    </sheetView>
  </sheetViews>
  <sheetFormatPr defaultColWidth="9.140625" defaultRowHeight="12.75"/>
  <cols>
    <col min="1" max="1" width="2.57421875" style="0" customWidth="1"/>
    <col min="2" max="2" width="35.28125" style="0" customWidth="1"/>
    <col min="3" max="4" width="0.13671875" style="0" hidden="1" customWidth="1"/>
    <col min="5" max="5" width="7.140625" style="0" hidden="1" customWidth="1"/>
    <col min="6" max="15" width="9.140625" style="0" hidden="1" customWidth="1"/>
    <col min="16" max="16" width="11.421875" style="0" hidden="1" customWidth="1"/>
    <col min="17" max="17" width="9.140625" style="0" hidden="1" customWidth="1"/>
    <col min="18" max="18" width="9.28125" style="0" hidden="1" customWidth="1"/>
    <col min="19" max="19" width="0.13671875" style="0" hidden="1" customWidth="1"/>
    <col min="20" max="25" width="9.140625" style="0" hidden="1" customWidth="1"/>
    <col min="26" max="26" width="9.28125" style="0" hidden="1" customWidth="1"/>
    <col min="27" max="27" width="10.421875" style="0" hidden="1" customWidth="1"/>
    <col min="28" max="31" width="9.140625" style="0" hidden="1" customWidth="1"/>
    <col min="32" max="32" width="8.8515625" style="0" hidden="1" customWidth="1"/>
    <col min="33" max="33" width="0.5625" style="0" hidden="1" customWidth="1"/>
    <col min="34" max="34" width="7.7109375" style="0" hidden="1" customWidth="1"/>
    <col min="35" max="37" width="8.00390625" style="0" hidden="1" customWidth="1"/>
    <col min="38" max="38" width="7.7109375" style="0" hidden="1" customWidth="1"/>
    <col min="39" max="39" width="7.57421875" style="0" hidden="1" customWidth="1"/>
    <col min="40" max="40" width="8.57421875" style="0" hidden="1" customWidth="1"/>
    <col min="41" max="41" width="8.140625" style="0" hidden="1" customWidth="1"/>
    <col min="42" max="43" width="9.140625" style="0" hidden="1" customWidth="1"/>
    <col min="44" max="44" width="10.140625" style="0" hidden="1" customWidth="1"/>
    <col min="45" max="48" width="9.140625" style="0" hidden="1" customWidth="1"/>
    <col min="50" max="50" width="7.57421875" style="0" customWidth="1"/>
    <col min="51" max="51" width="7.8515625" style="0" customWidth="1"/>
    <col min="52" max="52" width="7.421875" style="0" customWidth="1"/>
    <col min="56" max="56" width="9.8515625" style="0" customWidth="1"/>
    <col min="63" max="63" width="10.28125" style="0" bestFit="1" customWidth="1"/>
    <col min="64" max="64" width="8.7109375" style="0" customWidth="1"/>
    <col min="65" max="65" width="11.421875" style="0" customWidth="1"/>
    <col min="66" max="66" width="11.7109375" style="0" bestFit="1" customWidth="1"/>
    <col min="67" max="67" width="11.57421875" style="0" customWidth="1"/>
    <col min="69" max="69" width="4.28125" style="0" customWidth="1"/>
    <col min="70" max="70" width="10.140625" style="0" bestFit="1" customWidth="1"/>
  </cols>
  <sheetData>
    <row r="1" spans="1:63" ht="16.5" customHeight="1" thickBot="1">
      <c r="A1" s="1"/>
      <c r="B1" s="1"/>
      <c r="AG1" s="111" t="s">
        <v>0</v>
      </c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W1" s="108" t="s">
        <v>1</v>
      </c>
      <c r="AX1" s="109"/>
      <c r="AY1" s="109"/>
      <c r="AZ1" s="109"/>
      <c r="BA1" s="109"/>
      <c r="BB1" s="109"/>
      <c r="BC1" s="110"/>
      <c r="BD1" s="96" t="s">
        <v>2</v>
      </c>
      <c r="BE1" s="108" t="s">
        <v>1</v>
      </c>
      <c r="BF1" s="109"/>
      <c r="BG1" s="109"/>
      <c r="BH1" s="109"/>
      <c r="BI1" s="109"/>
      <c r="BJ1" s="109"/>
      <c r="BK1" s="96" t="s">
        <v>3</v>
      </c>
    </row>
    <row r="2" spans="1:67" ht="13.5" thickBot="1">
      <c r="A2" s="112" t="s">
        <v>4</v>
      </c>
      <c r="B2" s="113" t="s">
        <v>5</v>
      </c>
      <c r="C2" s="104" t="s">
        <v>6</v>
      </c>
      <c r="D2" s="105"/>
      <c r="E2" s="105"/>
      <c r="F2" s="105"/>
      <c r="G2" s="105"/>
      <c r="H2" s="105"/>
      <c r="I2" s="106"/>
      <c r="J2" s="107" t="s">
        <v>2</v>
      </c>
      <c r="K2" s="108" t="s">
        <v>7</v>
      </c>
      <c r="L2" s="109"/>
      <c r="M2" s="109"/>
      <c r="N2" s="109"/>
      <c r="O2" s="109"/>
      <c r="P2" s="109"/>
      <c r="Q2" s="2">
        <v>2015</v>
      </c>
      <c r="R2" s="104" t="s">
        <v>6</v>
      </c>
      <c r="S2" s="105"/>
      <c r="T2" s="105"/>
      <c r="U2" s="105"/>
      <c r="V2" s="105"/>
      <c r="W2" s="105"/>
      <c r="X2" s="106"/>
      <c r="Y2" s="107" t="s">
        <v>2</v>
      </c>
      <c r="Z2" s="108" t="s">
        <v>8</v>
      </c>
      <c r="AA2" s="109"/>
      <c r="AB2" s="109"/>
      <c r="AC2" s="109"/>
      <c r="AD2" s="109"/>
      <c r="AE2" s="109"/>
      <c r="AF2" s="3">
        <v>2016</v>
      </c>
      <c r="AG2" s="108" t="s">
        <v>9</v>
      </c>
      <c r="AH2" s="109"/>
      <c r="AI2" s="109"/>
      <c r="AJ2" s="109"/>
      <c r="AK2" s="109"/>
      <c r="AL2" s="109"/>
      <c r="AM2" s="110"/>
      <c r="AN2" s="96" t="s">
        <v>2</v>
      </c>
      <c r="AO2" s="108" t="s">
        <v>9</v>
      </c>
      <c r="AP2" s="109"/>
      <c r="AQ2" s="109"/>
      <c r="AR2" s="109"/>
      <c r="AS2" s="109"/>
      <c r="AT2" s="109"/>
      <c r="AU2" s="96" t="s">
        <v>3</v>
      </c>
      <c r="AV2" s="96" t="s">
        <v>10</v>
      </c>
      <c r="AW2" s="4" t="s">
        <v>11</v>
      </c>
      <c r="AX2" s="5" t="s">
        <v>12</v>
      </c>
      <c r="AY2" s="6" t="s">
        <v>13</v>
      </c>
      <c r="AZ2" s="6" t="s">
        <v>14</v>
      </c>
      <c r="BA2" s="6" t="s">
        <v>15</v>
      </c>
      <c r="BB2" s="6" t="s">
        <v>16</v>
      </c>
      <c r="BC2" s="6" t="s">
        <v>17</v>
      </c>
      <c r="BD2" s="97"/>
      <c r="BE2" s="6" t="s">
        <v>18</v>
      </c>
      <c r="BF2" s="6" t="s">
        <v>19</v>
      </c>
      <c r="BG2" s="6" t="s">
        <v>20</v>
      </c>
      <c r="BH2" s="6" t="s">
        <v>21</v>
      </c>
      <c r="BI2" s="6" t="s">
        <v>22</v>
      </c>
      <c r="BJ2" s="6" t="s">
        <v>23</v>
      </c>
      <c r="BK2" s="97"/>
      <c r="BN2" s="7" t="s">
        <v>24</v>
      </c>
      <c r="BO2" s="8" t="s">
        <v>25</v>
      </c>
    </row>
    <row r="3" spans="1:63" ht="12.75">
      <c r="A3" s="112"/>
      <c r="B3" s="114"/>
      <c r="C3" s="4" t="s">
        <v>11</v>
      </c>
      <c r="D3" s="9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97"/>
      <c r="K3" s="5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11" t="s">
        <v>26</v>
      </c>
      <c r="R3" s="4" t="s">
        <v>11</v>
      </c>
      <c r="S3" s="9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97"/>
      <c r="Z3" s="5" t="s">
        <v>18</v>
      </c>
      <c r="AA3" s="6" t="s">
        <v>19</v>
      </c>
      <c r="AB3" s="6" t="s">
        <v>20</v>
      </c>
      <c r="AC3" s="6" t="s">
        <v>21</v>
      </c>
      <c r="AD3" s="6" t="s">
        <v>22</v>
      </c>
      <c r="AE3" s="6" t="s">
        <v>23</v>
      </c>
      <c r="AF3" s="12" t="s">
        <v>27</v>
      </c>
      <c r="AG3" s="4" t="s">
        <v>11</v>
      </c>
      <c r="AH3" s="5" t="s">
        <v>12</v>
      </c>
      <c r="AI3" s="6" t="s">
        <v>13</v>
      </c>
      <c r="AJ3" s="6" t="s">
        <v>14</v>
      </c>
      <c r="AK3" s="6" t="s">
        <v>15</v>
      </c>
      <c r="AL3" s="6" t="s">
        <v>16</v>
      </c>
      <c r="AM3" s="6" t="s">
        <v>17</v>
      </c>
      <c r="AN3" s="97"/>
      <c r="AO3" s="6" t="s">
        <v>18</v>
      </c>
      <c r="AP3" s="6" t="s">
        <v>19</v>
      </c>
      <c r="AQ3" s="6" t="s">
        <v>20</v>
      </c>
      <c r="AR3" s="6" t="s">
        <v>21</v>
      </c>
      <c r="AS3" s="6" t="s">
        <v>22</v>
      </c>
      <c r="AT3" s="6" t="s">
        <v>23</v>
      </c>
      <c r="AU3" s="97"/>
      <c r="AV3" s="97"/>
      <c r="AW3" s="13">
        <v>13726896</v>
      </c>
      <c r="AX3" s="14"/>
      <c r="AY3" s="14"/>
      <c r="AZ3" s="14"/>
      <c r="BA3" s="14"/>
      <c r="BB3" s="14"/>
      <c r="BC3" s="14"/>
      <c r="BD3" s="14"/>
      <c r="BE3" s="15"/>
      <c r="BF3" s="14"/>
      <c r="BG3" s="14"/>
      <c r="BH3" s="14"/>
      <c r="BI3" s="14"/>
      <c r="BJ3" s="14"/>
      <c r="BK3" s="14"/>
    </row>
    <row r="4" spans="1:69" ht="13.5" customHeight="1">
      <c r="A4" s="16" t="s">
        <v>28</v>
      </c>
      <c r="B4" s="17" t="s">
        <v>29</v>
      </c>
      <c r="C4" s="18">
        <v>74452498</v>
      </c>
      <c r="D4" s="14"/>
      <c r="E4" s="14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3">
        <v>63402458</v>
      </c>
      <c r="S4" s="14"/>
      <c r="T4" s="14"/>
      <c r="U4" s="14"/>
      <c r="V4" s="14"/>
      <c r="W4" s="14"/>
      <c r="X4" s="14"/>
      <c r="Y4" s="14"/>
      <c r="Z4" s="15"/>
      <c r="AA4" s="14"/>
      <c r="AB4" s="14"/>
      <c r="AC4" s="14"/>
      <c r="AD4" s="14"/>
      <c r="AE4" s="14"/>
      <c r="AF4" s="19"/>
      <c r="AG4" s="13">
        <v>5301722</v>
      </c>
      <c r="AH4" s="14"/>
      <c r="AI4" s="14"/>
      <c r="AJ4" s="14"/>
      <c r="AK4" s="14"/>
      <c r="AL4" s="14"/>
      <c r="AM4" s="14"/>
      <c r="AN4" s="14"/>
      <c r="AO4" s="15"/>
      <c r="AP4" s="14"/>
      <c r="AQ4" s="14"/>
      <c r="AR4" s="14"/>
      <c r="AS4" s="14"/>
      <c r="AT4" s="14"/>
      <c r="AU4" s="14"/>
      <c r="AV4" s="14"/>
      <c r="AW4" s="14"/>
      <c r="AX4" s="20"/>
      <c r="AY4" s="20"/>
      <c r="AZ4" s="13"/>
      <c r="BA4" s="13"/>
      <c r="BB4" s="13"/>
      <c r="BC4" s="13"/>
      <c r="BD4" s="13">
        <f aca="true" t="shared" si="0" ref="BD4:BD16">AX4+AY4+AZ4+BA4+BB4+BC4</f>
        <v>0</v>
      </c>
      <c r="BE4" s="20"/>
      <c r="BF4" s="20"/>
      <c r="BG4" s="20"/>
      <c r="BH4" s="20"/>
      <c r="BI4" s="20"/>
      <c r="BJ4" s="20"/>
      <c r="BK4" s="21">
        <f aca="true" t="shared" si="1" ref="BK4:BK37">BD4+BE4+BF4+BG4+BH4+BI4+BJ4</f>
        <v>0</v>
      </c>
      <c r="BP4" s="98" t="s">
        <v>30</v>
      </c>
      <c r="BQ4" s="98"/>
    </row>
    <row r="5" spans="1:67" ht="13.5">
      <c r="A5" s="22" t="s">
        <v>31</v>
      </c>
      <c r="B5" s="23" t="s">
        <v>32</v>
      </c>
      <c r="C5" s="14"/>
      <c r="D5" s="20">
        <f>D6+D11</f>
        <v>66400</v>
      </c>
      <c r="E5" s="20">
        <f>E6+E11</f>
        <v>96200</v>
      </c>
      <c r="F5" s="13">
        <f>F6+F11+F12</f>
        <v>490600</v>
      </c>
      <c r="G5" s="13">
        <f>G6+G10+G11+G12</f>
        <v>1081378</v>
      </c>
      <c r="H5" s="13">
        <f>H6+H11+H12</f>
        <v>127080</v>
      </c>
      <c r="I5" s="13">
        <f>I11</f>
        <v>109400</v>
      </c>
      <c r="J5" s="13">
        <f>D5+E5+F5+G5+H5+I5</f>
        <v>1971058</v>
      </c>
      <c r="K5" s="20">
        <f>K11</f>
        <v>40000</v>
      </c>
      <c r="L5" s="20">
        <f>L9+L11</f>
        <v>78700</v>
      </c>
      <c r="M5" s="20">
        <f>M9+M11</f>
        <v>645670</v>
      </c>
      <c r="N5" s="20">
        <f>N11</f>
        <v>138000</v>
      </c>
      <c r="O5" s="20">
        <f>O7+O9+O11</f>
        <v>30629200</v>
      </c>
      <c r="P5" s="20">
        <f>P6+P10+P12</f>
        <v>50273245</v>
      </c>
      <c r="Q5" s="13">
        <f>J5+K5+L5+M5+N5+O5+P5</f>
        <v>83775873</v>
      </c>
      <c r="R5" s="14"/>
      <c r="S5" s="20">
        <f>S6+S11</f>
        <v>2858620</v>
      </c>
      <c r="T5" s="20">
        <f>T6+T11</f>
        <v>822300</v>
      </c>
      <c r="U5" s="13">
        <f>U6+U11</f>
        <v>3374700</v>
      </c>
      <c r="V5" s="13">
        <f>V6+V11</f>
        <v>1527200</v>
      </c>
      <c r="W5" s="13">
        <f>W9+W11</f>
        <v>248150</v>
      </c>
      <c r="X5" s="13">
        <f>X9+X11</f>
        <v>180100</v>
      </c>
      <c r="Y5" s="13">
        <f>S5+T5+U5+V5+W5+X5</f>
        <v>9011070</v>
      </c>
      <c r="Z5" s="20">
        <f>Z6+Z11</f>
        <v>10340400</v>
      </c>
      <c r="AA5" s="20">
        <f>AA6+AA11</f>
        <v>25085500</v>
      </c>
      <c r="AB5" s="20">
        <v>0</v>
      </c>
      <c r="AC5" s="20">
        <f>AC11</f>
        <v>504100</v>
      </c>
      <c r="AD5" s="20">
        <f>AD6+AD11</f>
        <v>10070000</v>
      </c>
      <c r="AE5" s="20">
        <f>AE6+AE10</f>
        <v>6113891</v>
      </c>
      <c r="AF5" s="24">
        <f>Y5+Z5+AA5+AB5+AC5+AD5+AE5</f>
        <v>61124961</v>
      </c>
      <c r="AG5" s="14"/>
      <c r="AH5" s="20">
        <f>AH6+AH10+AH11</f>
        <v>30176172</v>
      </c>
      <c r="AI5" s="20">
        <f>AI6+AI11+AI12</f>
        <v>29307616</v>
      </c>
      <c r="AJ5" s="13">
        <f>AJ6+AJ11+AJ12</f>
        <v>4230097</v>
      </c>
      <c r="AK5" s="13">
        <f>AK6+AK11+AK12</f>
        <v>6337705</v>
      </c>
      <c r="AL5" s="13">
        <f>AL6+AL11+AL12</f>
        <v>3599517</v>
      </c>
      <c r="AM5" s="13">
        <f>AM6+AM11</f>
        <v>1404628</v>
      </c>
      <c r="AN5" s="13">
        <f>AH5+AI5+AJ5+AK5+AL5+AM5</f>
        <v>75055735</v>
      </c>
      <c r="AO5" s="20">
        <f>AO6+AO11+AO12</f>
        <v>36070000</v>
      </c>
      <c r="AP5" s="20">
        <f>AP6+AP11</f>
        <v>2920655</v>
      </c>
      <c r="AQ5" s="20">
        <f>AQ6+AQ11</f>
        <v>12121798</v>
      </c>
      <c r="AR5" s="20">
        <f>AR6+AR11</f>
        <v>1294400</v>
      </c>
      <c r="AS5" s="20">
        <f>AS6+AS11</f>
        <v>60000</v>
      </c>
      <c r="AT5" s="20">
        <f>AT6+AT11</f>
        <v>23339551</v>
      </c>
      <c r="AU5" s="21">
        <f>AN5+AO5+AP5+AQ5+AR5+AS5+AT5</f>
        <v>150862139</v>
      </c>
      <c r="AV5" s="14"/>
      <c r="AW5" s="14"/>
      <c r="AX5" s="25">
        <f>AX6+AX11+AX12</f>
        <v>19364556</v>
      </c>
      <c r="AY5" s="25">
        <f>AY6+AY11+AY13</f>
        <v>13498414.9</v>
      </c>
      <c r="AZ5" s="25">
        <f>AZ6+AZ11</f>
        <v>656300</v>
      </c>
      <c r="BA5" s="20">
        <f>BA9+BA11+BA12</f>
        <v>1258687</v>
      </c>
      <c r="BB5" s="20">
        <f>BB6+BB11</f>
        <v>34816251</v>
      </c>
      <c r="BC5" s="13">
        <f>BC6+BC11</f>
        <v>307307</v>
      </c>
      <c r="BD5" s="13">
        <f t="shared" si="0"/>
        <v>69901515.9</v>
      </c>
      <c r="BE5" s="20">
        <f>BE6+BE11</f>
        <v>372900</v>
      </c>
      <c r="BF5" s="20">
        <f>BF6+BF11</f>
        <v>30495573</v>
      </c>
      <c r="BG5" s="20">
        <f>BG6+BG11</f>
        <v>2032269</v>
      </c>
      <c r="BH5" s="20">
        <f>BH6+BH11</f>
        <v>20404471</v>
      </c>
      <c r="BI5" s="20">
        <f>BI6+BI11</f>
        <v>352000</v>
      </c>
      <c r="BJ5" s="20">
        <f>BJ6+BJ11+BJ13</f>
        <v>22067364</v>
      </c>
      <c r="BK5" s="26">
        <f t="shared" si="1"/>
        <v>145626092.9</v>
      </c>
      <c r="BL5" s="27" t="s">
        <v>33</v>
      </c>
      <c r="BM5" s="19">
        <v>145626092.9</v>
      </c>
      <c r="BN5" s="28">
        <f>BM5-BK5</f>
        <v>0</v>
      </c>
      <c r="BO5" s="29" t="s">
        <v>34</v>
      </c>
    </row>
    <row r="6" spans="1:64" ht="13.5" thickBot="1">
      <c r="A6" s="30">
        <v>1</v>
      </c>
      <c r="B6" s="31" t="s">
        <v>35</v>
      </c>
      <c r="C6" s="14"/>
      <c r="D6" s="32">
        <f>D7+D8+D9</f>
        <v>36400</v>
      </c>
      <c r="E6" s="32">
        <f>E7+E8+E9</f>
        <v>50000</v>
      </c>
      <c r="F6" s="32">
        <f>F7+F8+F9</f>
        <v>373600</v>
      </c>
      <c r="G6" s="33">
        <f>G7+G8+G9</f>
        <v>910000</v>
      </c>
      <c r="H6" s="33">
        <f>H7+H8+H9</f>
        <v>39000</v>
      </c>
      <c r="I6" s="34"/>
      <c r="J6" s="13">
        <f aca="true" t="shared" si="2" ref="J6:J13">D6+E6+F6+G6+H6+I6</f>
        <v>1409000</v>
      </c>
      <c r="K6" s="33"/>
      <c r="L6" s="33">
        <f>L9</f>
        <v>25000</v>
      </c>
      <c r="M6" s="33">
        <f>M9</f>
        <v>382100</v>
      </c>
      <c r="N6" s="33"/>
      <c r="O6" s="20">
        <f>O7+O9</f>
        <v>30619200</v>
      </c>
      <c r="P6" s="20">
        <f>P7+P8+P9</f>
        <v>50226600</v>
      </c>
      <c r="Q6" s="35">
        <f aca="true" t="shared" si="3" ref="Q6:Q42">J6+K6+L6+M6+N6+O6+P6</f>
        <v>82661900</v>
      </c>
      <c r="R6" s="14"/>
      <c r="S6" s="25">
        <f aca="true" t="shared" si="4" ref="S6:X6">S9</f>
        <v>2763700</v>
      </c>
      <c r="T6" s="25">
        <f t="shared" si="4"/>
        <v>782300</v>
      </c>
      <c r="U6" s="25">
        <f t="shared" si="4"/>
        <v>769700</v>
      </c>
      <c r="V6" s="33">
        <f t="shared" si="4"/>
        <v>1267200</v>
      </c>
      <c r="W6" s="33">
        <f t="shared" si="4"/>
        <v>141600</v>
      </c>
      <c r="X6" s="34">
        <f t="shared" si="4"/>
        <v>10400</v>
      </c>
      <c r="Y6" s="13">
        <f aca="true" t="shared" si="5" ref="Y6:Y13">S6+T6+U6+V6+W6+X6</f>
        <v>5734900</v>
      </c>
      <c r="Z6" s="33">
        <f>Z7+Z9</f>
        <v>10300000</v>
      </c>
      <c r="AA6" s="33">
        <f>AA7</f>
        <v>25000000</v>
      </c>
      <c r="AB6" s="33"/>
      <c r="AC6" s="33"/>
      <c r="AD6" s="20">
        <f>AD7+AD9</f>
        <v>10030000</v>
      </c>
      <c r="AE6" s="20">
        <f>AE7+AE9</f>
        <v>6113822</v>
      </c>
      <c r="AF6" s="36">
        <f aca="true" t="shared" si="6" ref="AF6:AF42">Y6+Z6+AA6+AB6+AC6+AD6+AE6</f>
        <v>57178722</v>
      </c>
      <c r="AG6" s="14"/>
      <c r="AH6" s="25">
        <f aca="true" t="shared" si="7" ref="AH6:AM6">AH9</f>
        <v>29866302</v>
      </c>
      <c r="AI6" s="25">
        <f t="shared" si="7"/>
        <v>28187607</v>
      </c>
      <c r="AJ6" s="25">
        <f t="shared" si="7"/>
        <v>3108622</v>
      </c>
      <c r="AK6" s="20">
        <f t="shared" si="7"/>
        <v>5906117</v>
      </c>
      <c r="AL6" s="20">
        <f t="shared" si="7"/>
        <v>2365759</v>
      </c>
      <c r="AM6" s="13">
        <f t="shared" si="7"/>
        <v>239448</v>
      </c>
      <c r="AN6" s="13">
        <f aca="true" t="shared" si="8" ref="AN6:AN12">AH6+AI6+AJ6+AK6+AL6+AM6</f>
        <v>69673855</v>
      </c>
      <c r="AO6" s="33">
        <f>AO7+AO9</f>
        <v>35030000</v>
      </c>
      <c r="AP6" s="33">
        <f>AP9</f>
        <v>1601005</v>
      </c>
      <c r="AQ6" s="33">
        <f>AQ7+AQ9</f>
        <v>10121298</v>
      </c>
      <c r="AR6" s="33">
        <f>AR9</f>
        <v>90000</v>
      </c>
      <c r="AS6" s="33">
        <f>AS9</f>
        <v>30000</v>
      </c>
      <c r="AT6" s="20">
        <f>AT7+AT9</f>
        <v>23319551</v>
      </c>
      <c r="AU6" s="37">
        <f aca="true" t="shared" si="9" ref="AU6:AU42">AN6+AO6+AP6+AQ6+AR6+AS6+AT6</f>
        <v>139865709</v>
      </c>
      <c r="AV6" s="19"/>
      <c r="AW6" s="14"/>
      <c r="AX6" s="38">
        <f>AX9</f>
        <v>19023333</v>
      </c>
      <c r="AY6" s="33">
        <f>AY9</f>
        <v>12930379</v>
      </c>
      <c r="AZ6" s="34">
        <f>AZ9</f>
        <v>200000</v>
      </c>
      <c r="BA6" s="34">
        <f>BA9</f>
        <v>84510</v>
      </c>
      <c r="BB6" s="33">
        <f>BB7+BB9</f>
        <v>33337831</v>
      </c>
      <c r="BC6" s="33">
        <f>BC9</f>
        <v>65147</v>
      </c>
      <c r="BD6" s="13">
        <f t="shared" si="0"/>
        <v>65641200</v>
      </c>
      <c r="BE6" s="20">
        <f>BE9</f>
        <v>209300</v>
      </c>
      <c r="BF6" s="39">
        <f>BF7+BF9</f>
        <v>30394553</v>
      </c>
      <c r="BG6" s="20">
        <f>BG9</f>
        <v>814359</v>
      </c>
      <c r="BH6" s="20">
        <f>BH7+BH9</f>
        <v>18364471</v>
      </c>
      <c r="BI6" s="20">
        <f>BI9</f>
        <v>40000</v>
      </c>
      <c r="BJ6" s="20">
        <f>BJ7+BJ8+BJ9</f>
        <v>19959744</v>
      </c>
      <c r="BK6" s="26">
        <f t="shared" si="1"/>
        <v>135423627</v>
      </c>
      <c r="BL6" s="40"/>
    </row>
    <row r="7" spans="1:67" ht="13.5">
      <c r="A7" s="41" t="s">
        <v>36</v>
      </c>
      <c r="B7" s="31" t="s">
        <v>37</v>
      </c>
      <c r="C7" s="14"/>
      <c r="D7" s="42"/>
      <c r="E7" s="33"/>
      <c r="F7" s="34"/>
      <c r="G7" s="34"/>
      <c r="H7" s="33"/>
      <c r="I7" s="34"/>
      <c r="J7" s="34">
        <f t="shared" si="2"/>
        <v>0</v>
      </c>
      <c r="K7" s="33"/>
      <c r="L7" s="38"/>
      <c r="M7" s="33"/>
      <c r="N7" s="33"/>
      <c r="O7" s="33">
        <f>9290800+21253400</f>
        <v>30544200</v>
      </c>
      <c r="P7" s="33">
        <v>43471800</v>
      </c>
      <c r="Q7" s="34">
        <f>J7+K7+L7+M7+N7+O7+P7</f>
        <v>74016000</v>
      </c>
      <c r="R7" s="14"/>
      <c r="S7" s="42"/>
      <c r="T7" s="33"/>
      <c r="U7" s="34"/>
      <c r="V7" s="34"/>
      <c r="W7" s="33"/>
      <c r="X7" s="34"/>
      <c r="Y7" s="34">
        <f t="shared" si="5"/>
        <v>0</v>
      </c>
      <c r="Z7" s="33">
        <v>10000000</v>
      </c>
      <c r="AA7" s="38">
        <f>15000000+10000000</f>
        <v>25000000</v>
      </c>
      <c r="AB7" s="33"/>
      <c r="AC7" s="33"/>
      <c r="AD7" s="33">
        <v>10000000</v>
      </c>
      <c r="AE7" s="33">
        <v>5000000</v>
      </c>
      <c r="AF7" s="43">
        <f>Y7+Z7+AA7+AB7+AC7+AD7+AE7</f>
        <v>50000000</v>
      </c>
      <c r="AG7" s="14"/>
      <c r="AI7" s="33"/>
      <c r="AJ7" s="34"/>
      <c r="AK7" s="34"/>
      <c r="AL7" s="33"/>
      <c r="AM7" s="34"/>
      <c r="AN7" s="13">
        <f t="shared" si="8"/>
        <v>0</v>
      </c>
      <c r="AO7" s="33">
        <f>15000000+20000000</f>
        <v>35000000</v>
      </c>
      <c r="AP7" s="38"/>
      <c r="AQ7" s="33">
        <v>10000000</v>
      </c>
      <c r="AR7" s="33"/>
      <c r="AS7" s="33"/>
      <c r="AT7" s="33">
        <v>23274551</v>
      </c>
      <c r="AU7" s="34">
        <f>AN7+AO7+AP7+AQ7+AR7+AS7+AT7</f>
        <v>68274551</v>
      </c>
      <c r="AV7" s="34"/>
      <c r="AW7" s="14"/>
      <c r="AX7" s="33"/>
      <c r="AY7" s="33"/>
      <c r="AZ7" s="34"/>
      <c r="BA7" s="34"/>
      <c r="BB7" s="33">
        <f>20000000+12858755</f>
        <v>32858755</v>
      </c>
      <c r="BC7" s="34"/>
      <c r="BD7" s="13">
        <f t="shared" si="0"/>
        <v>32858755</v>
      </c>
      <c r="BE7" s="33"/>
      <c r="BF7" s="33">
        <v>30000000</v>
      </c>
      <c r="BG7" s="33"/>
      <c r="BH7" s="33">
        <v>18000000</v>
      </c>
      <c r="BI7" s="33"/>
      <c r="BJ7" s="33">
        <f>19696138</f>
        <v>19696138</v>
      </c>
      <c r="BK7" s="44">
        <f t="shared" si="1"/>
        <v>100554893</v>
      </c>
      <c r="BL7" s="99" t="s">
        <v>38</v>
      </c>
      <c r="BM7" s="101">
        <f>BK7+BK8</f>
        <v>100601115</v>
      </c>
      <c r="BN7" s="45">
        <f>BM7</f>
        <v>100601115</v>
      </c>
      <c r="BO7" s="46">
        <f>BK7+BK8+BK9+BM9+BK12</f>
        <v>135578584</v>
      </c>
    </row>
    <row r="8" spans="1:66" ht="13.5" thickBot="1">
      <c r="A8" s="41" t="s">
        <v>39</v>
      </c>
      <c r="B8" s="31" t="s">
        <v>40</v>
      </c>
      <c r="C8" s="14"/>
      <c r="D8" s="33"/>
      <c r="E8" s="33"/>
      <c r="F8" s="34"/>
      <c r="G8" s="34"/>
      <c r="H8" s="33"/>
      <c r="I8" s="34"/>
      <c r="J8" s="34">
        <f t="shared" si="2"/>
        <v>0</v>
      </c>
      <c r="K8" s="33"/>
      <c r="L8" s="33"/>
      <c r="M8" s="33"/>
      <c r="N8" s="33"/>
      <c r="O8" s="33"/>
      <c r="P8" s="33">
        <f>423600+33000+30000+133100+500+45000+73600+9400+30000+55400+11600+5800+30000+202800+99900+30000+75800+537300+539500+134200+15000+400+10300+30000+30000+18000+1253100+3500+44400+145700+15000+48100+2270000+23800+27800+15000+15000+30000+30000+12000+3100</f>
        <v>6540700</v>
      </c>
      <c r="Q8" s="34">
        <f t="shared" si="3"/>
        <v>6540700</v>
      </c>
      <c r="R8" s="14"/>
      <c r="S8" s="33"/>
      <c r="T8" s="33"/>
      <c r="U8" s="34"/>
      <c r="V8" s="34"/>
      <c r="W8" s="33"/>
      <c r="X8" s="34"/>
      <c r="Y8" s="34">
        <f t="shared" si="5"/>
        <v>0</v>
      </c>
      <c r="Z8" s="33"/>
      <c r="AA8" s="33"/>
      <c r="AB8" s="33"/>
      <c r="AC8" s="33"/>
      <c r="AD8" s="33"/>
      <c r="AE8" s="33"/>
      <c r="AF8" s="43">
        <f t="shared" si="6"/>
        <v>0</v>
      </c>
      <c r="AG8" s="14"/>
      <c r="AH8" s="33"/>
      <c r="AI8" s="33"/>
      <c r="AJ8" s="34"/>
      <c r="AK8" s="34"/>
      <c r="AL8" s="33"/>
      <c r="AM8" s="34"/>
      <c r="AN8" s="13">
        <f t="shared" si="8"/>
        <v>0</v>
      </c>
      <c r="AO8" s="33"/>
      <c r="AP8" s="33"/>
      <c r="AQ8" s="33"/>
      <c r="AR8" s="33"/>
      <c r="AS8" s="33"/>
      <c r="AT8" s="33"/>
      <c r="AU8" s="34">
        <f t="shared" si="9"/>
        <v>0</v>
      </c>
      <c r="AV8" s="34"/>
      <c r="AW8" s="14"/>
      <c r="AX8" s="33"/>
      <c r="AY8" s="33"/>
      <c r="AZ8" s="34"/>
      <c r="BA8" s="34"/>
      <c r="BB8" s="33"/>
      <c r="BC8" s="33"/>
      <c r="BD8" s="13">
        <f t="shared" si="0"/>
        <v>0</v>
      </c>
      <c r="BE8" s="33"/>
      <c r="BF8" s="33"/>
      <c r="BG8" s="33"/>
      <c r="BH8" s="33"/>
      <c r="BI8" s="33"/>
      <c r="BJ8" s="33">
        <v>46222</v>
      </c>
      <c r="BK8" s="47">
        <f t="shared" si="1"/>
        <v>46222</v>
      </c>
      <c r="BL8" s="100"/>
      <c r="BM8" s="102"/>
      <c r="BN8" s="48"/>
    </row>
    <row r="9" spans="1:66" ht="12.75">
      <c r="A9" s="30" t="s">
        <v>41</v>
      </c>
      <c r="B9" s="31" t="s">
        <v>42</v>
      </c>
      <c r="C9" s="14"/>
      <c r="D9" s="49">
        <v>36400</v>
      </c>
      <c r="E9" s="49">
        <v>50000</v>
      </c>
      <c r="F9" s="49">
        <f>30000+50000+30700+262900</f>
        <v>373600</v>
      </c>
      <c r="G9" s="49">
        <f>4700+701100+104200+100000</f>
        <v>910000</v>
      </c>
      <c r="H9" s="49">
        <f>9000+30000</f>
        <v>39000</v>
      </c>
      <c r="I9" s="33"/>
      <c r="J9" s="34">
        <f>D9+E9+F9+G9+H9+I9</f>
        <v>1409000</v>
      </c>
      <c r="K9" s="33"/>
      <c r="L9" s="49">
        <v>25000</v>
      </c>
      <c r="M9" s="49">
        <f>181200+200900</f>
        <v>382100</v>
      </c>
      <c r="N9" s="33"/>
      <c r="O9" s="49">
        <v>75000</v>
      </c>
      <c r="P9" s="33">
        <f>115400+700+30000+30000+30000+7800+200</f>
        <v>214100</v>
      </c>
      <c r="Q9" s="13">
        <f>J9+K9+L9+M9+N9+O9+P9</f>
        <v>2105200</v>
      </c>
      <c r="R9" s="14"/>
      <c r="S9" s="33">
        <f>9900+15000+388600+603200+24300+353700+291200+60000+56300+29700+156600+426100+144100+15000+15000+45000+15000+30000+15000+30000+40000</f>
        <v>2763700</v>
      </c>
      <c r="T9" s="33">
        <f>30000+75500+12100+15000+17200+30000+16700+264800+100800+220200</f>
        <v>782300</v>
      </c>
      <c r="U9" s="34">
        <f>30000+264400+73800+6300+86700+34600+15000+30000+228900</f>
        <v>769700</v>
      </c>
      <c r="V9" s="34">
        <f>444300+25700+260000+537200</f>
        <v>1267200</v>
      </c>
      <c r="W9" s="33">
        <f>110000+16300+15300</f>
        <v>141600</v>
      </c>
      <c r="X9" s="33">
        <v>10400</v>
      </c>
      <c r="Y9" s="34">
        <f>S9+T9+U9+V9+W9+X9</f>
        <v>5734900</v>
      </c>
      <c r="Z9" s="33">
        <v>300000</v>
      </c>
      <c r="AA9" s="49"/>
      <c r="AB9" s="49"/>
      <c r="AC9" s="33"/>
      <c r="AD9" s="33">
        <v>30000</v>
      </c>
      <c r="AE9" s="33">
        <f>30000+30000+263892+574930+30000+30000+15000+100000+40000</f>
        <v>1113822</v>
      </c>
      <c r="AF9" s="50">
        <f>Y9+Z9+AA9+AB9+AC9+AD9+AE9</f>
        <v>7178722</v>
      </c>
      <c r="AG9" s="14"/>
      <c r="AH9" s="38">
        <f>13430060+16436242</f>
        <v>29866302</v>
      </c>
      <c r="AI9" s="33">
        <f>13000000+127915+15000+30564+15000+105476+59476+30000+2709600+22000+211424+30000+110227+62430+706878+811870+40492+30000+25787+75353+38400+66943+428435+30000+35168+356364+439800+445936+250200+53966+15000+35464+15000+32186+30000+25353+45000+20246+27852+1261005+201729+148627+30000+37309+76126+68722+46276+23250+86113+22106+135102+69939+164138+15000+454100+963714+256000+2724028+149000+391742+30597+30000+18246+15000+15000+31000+22933+30000+30000+15000+15000</f>
        <v>28187607</v>
      </c>
      <c r="AJ9" s="34">
        <f>30000+15000+573541+380129+125728+276159+45000+15000+38786+104893+93680+222950+30000+15000+30000+32773+30000+25257+40125+200000+30000+15752+40740+15000+30000+376914+20000+30000+30000+17711+77600+30000+70884</f>
        <v>3108622</v>
      </c>
      <c r="AK9" s="34">
        <f>139810+99482+15000+15000+15550+33197+30000+30000+749362+15000+60000+3731867+259075+60000+30000+30000+78341+18838+30000+45000+101189+18432+30000+30000+18531+15000+30000+109768+22675+45000</f>
        <v>5906117</v>
      </c>
      <c r="AL9" s="33">
        <f>21775+300000+410056+15000+416644+60000+65739+60000+266394+82212+30638+30000+198543+263758+30000+30000+30000+55000</f>
        <v>2365759</v>
      </c>
      <c r="AM9" s="33">
        <f>30000+134622+74826</f>
        <v>239448</v>
      </c>
      <c r="AN9" s="13">
        <f t="shared" si="8"/>
        <v>69673855</v>
      </c>
      <c r="AO9" s="33">
        <f>30000</f>
        <v>30000</v>
      </c>
      <c r="AP9" s="33">
        <f>517000+360000+115757+35648+140000+150000+90000+30000+162600</f>
        <v>1601005</v>
      </c>
      <c r="AQ9" s="33">
        <f>15000+15000+15000+45000+15000+16298</f>
        <v>121298</v>
      </c>
      <c r="AR9" s="33">
        <f>15000+15000+30000+30000</f>
        <v>90000</v>
      </c>
      <c r="AS9" s="33">
        <v>30000</v>
      </c>
      <c r="AT9" s="33">
        <v>45000</v>
      </c>
      <c r="AU9" s="13">
        <f>AN9+AO9+AP9+AQ9+AR9+AS9+AT9</f>
        <v>71591158</v>
      </c>
      <c r="AV9" s="13">
        <f>40614+90000</f>
        <v>130614</v>
      </c>
      <c r="AW9" s="14"/>
      <c r="AX9" s="38">
        <f>30000+30000+5599232+40000+8112+40000+122123+120000+66139+204873+363926+3948475+31074+40000+297229+61655+80000+375210+4541+75570+12860+40000+40000+28547+154060+80000+14507+10385+9364+1045550+7165+247026+39300+55627+80000+249974+61086+16881+50840+40000+173094+230819+40000+80000+13076+40000+80000+195767+319802+156546+65875+368979+80000+60358+6812+1015379+2851+43791+857035+40000+69805+364018+119089+3772+78695+9053+78973+170865+39484+56602+136161+165301+40000</f>
        <v>19023333</v>
      </c>
      <c r="AY9" s="33">
        <f>315734+2877337+4740+24039+3672+833264+199654+20819+2711+80000+80000+286052+216906+40457+80000+6027+2220+80000+88947+120000+99140+89834+72882+101839+5969+2133283+364565+41154+40000+116696+80000+109728+1883+1798719+92400+937773+28621+9023+508195+40000+84397+40000+40000+80000+117353+80000+40000+80000+80000+130070+124276</f>
        <v>12930379</v>
      </c>
      <c r="AZ9" s="33">
        <f>80000+40000+80000</f>
        <v>200000</v>
      </c>
      <c r="BA9" s="51">
        <f>40000+44510</f>
        <v>84510</v>
      </c>
      <c r="BB9" s="34">
        <f>107459+26121+52369+20000+193127+80000</f>
        <v>479076</v>
      </c>
      <c r="BC9" s="34">
        <v>65147</v>
      </c>
      <c r="BD9" s="13">
        <f t="shared" si="0"/>
        <v>32782445</v>
      </c>
      <c r="BE9" s="33">
        <v>209300</v>
      </c>
      <c r="BF9" s="33">
        <f>40000+206036+66342+82175</f>
        <v>394553</v>
      </c>
      <c r="BG9" s="33">
        <f>52251+30000+80000+336152+176373+5012+94571+40000</f>
        <v>814359</v>
      </c>
      <c r="BH9" s="33">
        <f>40000+700+48402+80000+30000+70369+40000+55000</f>
        <v>364471</v>
      </c>
      <c r="BI9" s="38">
        <v>40000</v>
      </c>
      <c r="BJ9" s="33">
        <f>40000+40000+137384</f>
        <v>217384</v>
      </c>
      <c r="BK9" s="26">
        <f t="shared" si="1"/>
        <v>34822512</v>
      </c>
      <c r="BL9" s="52" t="s">
        <v>43</v>
      </c>
      <c r="BM9" s="53">
        <f>98627+700</f>
        <v>99327</v>
      </c>
      <c r="BN9" s="54">
        <f>BK9+BM9</f>
        <v>34921839</v>
      </c>
    </row>
    <row r="10" spans="1:66" ht="12.75">
      <c r="A10" s="30">
        <v>2</v>
      </c>
      <c r="B10" s="31" t="s">
        <v>44</v>
      </c>
      <c r="C10" s="14"/>
      <c r="D10" s="33"/>
      <c r="E10" s="33"/>
      <c r="F10" s="33"/>
      <c r="G10" s="51">
        <f>3222+5156</f>
        <v>8378</v>
      </c>
      <c r="H10" s="34"/>
      <c r="I10" s="34"/>
      <c r="J10" s="13"/>
      <c r="K10" s="33"/>
      <c r="L10" s="33"/>
      <c r="N10" s="33"/>
      <c r="O10" s="38"/>
      <c r="P10" s="33">
        <f>7633+37012+1600</f>
        <v>46245</v>
      </c>
      <c r="Q10" s="34">
        <f>J10+K10+L10+M10+N10+O10+P10</f>
        <v>46245</v>
      </c>
      <c r="R10" s="14"/>
      <c r="S10" s="33"/>
      <c r="T10" s="33"/>
      <c r="U10" s="33"/>
      <c r="V10" s="51"/>
      <c r="W10" s="34"/>
      <c r="X10" s="34"/>
      <c r="Y10" s="13"/>
      <c r="Z10" s="33"/>
      <c r="AA10" s="33"/>
      <c r="AC10" s="33"/>
      <c r="AD10" s="38"/>
      <c r="AE10" s="33">
        <v>69</v>
      </c>
      <c r="AF10" s="50">
        <f>Y10+Z10+AA10+AB10+AC10+AD10+AE10</f>
        <v>69</v>
      </c>
      <c r="AG10" s="14"/>
      <c r="AH10" s="33">
        <f>13033+2837</f>
        <v>15870</v>
      </c>
      <c r="AI10" s="33"/>
      <c r="AJ10" s="33"/>
      <c r="AK10" s="51"/>
      <c r="AL10" s="34"/>
      <c r="AM10" s="34"/>
      <c r="AN10" s="13">
        <f t="shared" si="8"/>
        <v>15870</v>
      </c>
      <c r="AO10" s="33"/>
      <c r="AP10" s="33"/>
      <c r="AQ10" s="49"/>
      <c r="AR10" s="33"/>
      <c r="AS10" s="38"/>
      <c r="AT10" s="33"/>
      <c r="AU10" s="13">
        <f>AN10+AO10+AP10+AQ10+AR10+AS10+AT10</f>
        <v>15870</v>
      </c>
      <c r="AV10" s="13"/>
      <c r="AW10" s="14"/>
      <c r="AX10" s="33"/>
      <c r="AY10" s="33"/>
      <c r="AZ10" s="33"/>
      <c r="BA10" s="33"/>
      <c r="BB10" s="33"/>
      <c r="BC10" s="33"/>
      <c r="BD10" s="13">
        <f t="shared" si="0"/>
        <v>0</v>
      </c>
      <c r="BE10" s="33"/>
      <c r="BF10" s="33"/>
      <c r="BG10" s="33"/>
      <c r="BH10" s="33"/>
      <c r="BI10" s="33"/>
      <c r="BJ10" s="33"/>
      <c r="BK10" s="26">
        <f t="shared" si="1"/>
        <v>0</v>
      </c>
      <c r="BN10" s="54">
        <v>34921839</v>
      </c>
    </row>
    <row r="11" spans="1:70" ht="12.75">
      <c r="A11" s="30">
        <v>3</v>
      </c>
      <c r="B11" s="31" t="s">
        <v>45</v>
      </c>
      <c r="C11" s="14"/>
      <c r="D11" s="33">
        <v>30000</v>
      </c>
      <c r="E11" s="33">
        <f>10000+20000+16200</f>
        <v>46200</v>
      </c>
      <c r="F11" s="33">
        <f>20000+10000+10000+14000+10000+22000+10000+20000+700</f>
        <v>116700</v>
      </c>
      <c r="G11" s="33">
        <f>35000+23000+10000+10000+10000+45000+10000+10000+10000</f>
        <v>163000</v>
      </c>
      <c r="H11" s="33">
        <f>10000+65000+12080</f>
        <v>87080</v>
      </c>
      <c r="I11" s="33">
        <f>10000+10000+89400</f>
        <v>109400</v>
      </c>
      <c r="J11" s="13">
        <f t="shared" si="2"/>
        <v>552380</v>
      </c>
      <c r="K11" s="33">
        <v>40000</v>
      </c>
      <c r="L11" s="33">
        <v>53700</v>
      </c>
      <c r="M11" s="33">
        <f>88570+10000+145000+10000+10000</f>
        <v>263570</v>
      </c>
      <c r="N11" s="33">
        <v>138000</v>
      </c>
      <c r="O11" s="33">
        <v>10000</v>
      </c>
      <c r="P11" s="33"/>
      <c r="Q11" s="13">
        <f t="shared" si="3"/>
        <v>1057650</v>
      </c>
      <c r="R11" s="14"/>
      <c r="S11" s="33">
        <v>94920</v>
      </c>
      <c r="T11" s="33">
        <v>40000</v>
      </c>
      <c r="U11" s="33">
        <v>2605000</v>
      </c>
      <c r="V11" s="33">
        <f>10000+10000+240000</f>
        <v>260000</v>
      </c>
      <c r="W11" s="33">
        <f>59400+10000+27150+10000</f>
        <v>106550</v>
      </c>
      <c r="X11" s="33">
        <f>10000+10000+149700</f>
        <v>169700</v>
      </c>
      <c r="Y11" s="13">
        <f t="shared" si="5"/>
        <v>3276170</v>
      </c>
      <c r="Z11" s="33">
        <f>40000+400</f>
        <v>40400</v>
      </c>
      <c r="AA11" s="33">
        <v>85500</v>
      </c>
      <c r="AB11" s="33"/>
      <c r="AC11" s="33">
        <v>504100</v>
      </c>
      <c r="AD11" s="33">
        <v>40000</v>
      </c>
      <c r="AE11" s="33"/>
      <c r="AF11" s="50">
        <f t="shared" si="6"/>
        <v>3946170</v>
      </c>
      <c r="AG11" s="14"/>
      <c r="AH11" s="33">
        <f>214000+40000+40000</f>
        <v>294000</v>
      </c>
      <c r="AI11" s="33">
        <f>80000+40000+1000000</f>
        <v>1120000</v>
      </c>
      <c r="AJ11" s="33">
        <f>40000+40000+1000000+40000</f>
        <v>1120000</v>
      </c>
      <c r="AK11" s="33">
        <f>100000+100000+100000+40000+30000+41520</f>
        <v>411520</v>
      </c>
      <c r="AL11" s="33">
        <f>40000+1000000</f>
        <v>1040000</v>
      </c>
      <c r="AM11" s="33">
        <f>135180+900000+50000+40000+40000</f>
        <v>1165180</v>
      </c>
      <c r="AN11" s="13">
        <f t="shared" si="8"/>
        <v>5150700</v>
      </c>
      <c r="AO11" s="33">
        <f>1000000+40000</f>
        <v>1040000</v>
      </c>
      <c r="AP11" s="33">
        <f>45450+999500+214700+20000+40000</f>
        <v>1319650</v>
      </c>
      <c r="AQ11" s="33">
        <f>1000000+1000500</f>
        <v>2000500</v>
      </c>
      <c r="AR11" s="33">
        <f>40000+13400+111000+1000000+40000</f>
        <v>1204400</v>
      </c>
      <c r="AS11" s="33">
        <v>30000</v>
      </c>
      <c r="AT11" s="33">
        <v>20000</v>
      </c>
      <c r="AU11" s="13">
        <f t="shared" si="9"/>
        <v>10765250</v>
      </c>
      <c r="AV11" s="13"/>
      <c r="AW11" s="14"/>
      <c r="AX11" s="33">
        <f>41520+39700+60000+60000+50000+30000+30000+30000</f>
        <v>341220</v>
      </c>
      <c r="AY11" s="33">
        <f>40000+40000+417000+59100</f>
        <v>556100</v>
      </c>
      <c r="AZ11" s="33">
        <f>300+75000+75000+75000+60000+51000+60000+30000+30000</f>
        <v>456300</v>
      </c>
      <c r="BA11" s="33">
        <f>1000000+50000+68550</f>
        <v>1118550</v>
      </c>
      <c r="BB11" s="33">
        <f>100000+100000+40000+50000+39000+50000+39420+60000+1000000</f>
        <v>1478420</v>
      </c>
      <c r="BC11" s="33">
        <v>242160</v>
      </c>
      <c r="BD11" s="13">
        <f t="shared" si="0"/>
        <v>4192750</v>
      </c>
      <c r="BE11" s="55">
        <f>35000+29300+99300</f>
        <v>163600</v>
      </c>
      <c r="BF11" s="55">
        <f>100000+1020</f>
        <v>101020</v>
      </c>
      <c r="BG11" s="33">
        <f>1000000+50000+167910</f>
        <v>1217910</v>
      </c>
      <c r="BH11" s="33">
        <f>1000000+40000+1000000</f>
        <v>2040000</v>
      </c>
      <c r="BI11" s="33">
        <f>42000+40000+30000+100000+40000+60000</f>
        <v>312000</v>
      </c>
      <c r="BJ11" s="33">
        <f>101100+1000000+1000000</f>
        <v>2101100</v>
      </c>
      <c r="BK11" s="26">
        <f t="shared" si="1"/>
        <v>10128380</v>
      </c>
      <c r="BL11" s="56">
        <v>752</v>
      </c>
      <c r="BM11" s="53" t="s">
        <v>46</v>
      </c>
      <c r="BP11" s="103">
        <f>100000.43+30000.25+1400</f>
        <v>131400.68</v>
      </c>
      <c r="BQ11" s="103"/>
      <c r="BR11" s="54">
        <f>BK11+BP11</f>
        <v>10259780.68</v>
      </c>
    </row>
    <row r="12" spans="1:65" ht="12.75">
      <c r="A12" s="30">
        <v>4</v>
      </c>
      <c r="B12" s="31" t="s">
        <v>47</v>
      </c>
      <c r="C12" s="14"/>
      <c r="D12" s="33"/>
      <c r="E12" s="33"/>
      <c r="F12" s="33">
        <v>300</v>
      </c>
      <c r="G12" s="33"/>
      <c r="H12" s="33">
        <v>1000</v>
      </c>
      <c r="I12" s="33"/>
      <c r="J12" s="13">
        <v>1300</v>
      </c>
      <c r="K12" s="55"/>
      <c r="L12" s="55"/>
      <c r="M12" s="33"/>
      <c r="N12" s="33"/>
      <c r="O12" s="33"/>
      <c r="P12" s="33">
        <f>400</f>
        <v>400</v>
      </c>
      <c r="Q12" s="34">
        <f t="shared" si="3"/>
        <v>1700</v>
      </c>
      <c r="R12" s="14"/>
      <c r="S12" s="33"/>
      <c r="T12" s="33"/>
      <c r="U12" s="33"/>
      <c r="V12" s="33"/>
      <c r="W12" s="33"/>
      <c r="X12" s="33"/>
      <c r="Y12" s="13"/>
      <c r="Z12" s="55"/>
      <c r="AA12" s="55"/>
      <c r="AB12" s="33"/>
      <c r="AC12" s="33"/>
      <c r="AD12" s="33"/>
      <c r="AE12" s="33"/>
      <c r="AF12" s="43">
        <f t="shared" si="6"/>
        <v>0</v>
      </c>
      <c r="AG12" s="14"/>
      <c r="AH12" s="33"/>
      <c r="AI12" s="33">
        <f>1+8</f>
        <v>9</v>
      </c>
      <c r="AJ12" s="33">
        <f>227+1248</f>
        <v>1475</v>
      </c>
      <c r="AK12" s="33">
        <f>20000+68</f>
        <v>20068</v>
      </c>
      <c r="AL12" s="33">
        <f>248758-55000</f>
        <v>193758</v>
      </c>
      <c r="AM12" s="33"/>
      <c r="AN12" s="13">
        <f t="shared" si="8"/>
        <v>215310</v>
      </c>
      <c r="AO12" s="55"/>
      <c r="AP12" s="55"/>
      <c r="AQ12" s="49"/>
      <c r="AR12" s="33"/>
      <c r="AS12" s="33"/>
      <c r="AT12" s="33"/>
      <c r="AU12" s="13">
        <f>AN12+AP12+AQ12+AR12+AS12+AT12</f>
        <v>215310</v>
      </c>
      <c r="AV12" s="13"/>
      <c r="AW12" s="14"/>
      <c r="AX12" s="33">
        <v>3</v>
      </c>
      <c r="AY12" s="33"/>
      <c r="AZ12" s="33"/>
      <c r="BA12" s="33">
        <v>55627</v>
      </c>
      <c r="BB12" s="33"/>
      <c r="BC12" s="34"/>
      <c r="BD12" s="13">
        <f t="shared" si="0"/>
        <v>55630</v>
      </c>
      <c r="BE12" s="33"/>
      <c r="BF12" s="33"/>
      <c r="BG12" s="49"/>
      <c r="BH12" s="33"/>
      <c r="BI12" s="33"/>
      <c r="BJ12" s="33"/>
      <c r="BK12" s="26">
        <f t="shared" si="1"/>
        <v>55630</v>
      </c>
      <c r="BL12" s="56">
        <v>766</v>
      </c>
      <c r="BM12" s="53" t="s">
        <v>46</v>
      </c>
    </row>
    <row r="13" spans="1:65" ht="12.75">
      <c r="A13" s="30">
        <v>5</v>
      </c>
      <c r="B13" s="31" t="s">
        <v>48</v>
      </c>
      <c r="C13" s="14"/>
      <c r="D13" s="33"/>
      <c r="E13" s="33"/>
      <c r="F13" s="33"/>
      <c r="G13" s="34"/>
      <c r="H13" s="33"/>
      <c r="I13" s="34"/>
      <c r="J13" s="13">
        <f t="shared" si="2"/>
        <v>0</v>
      </c>
      <c r="K13" s="33"/>
      <c r="L13" s="33"/>
      <c r="M13" s="33"/>
      <c r="N13" s="33"/>
      <c r="O13" s="33"/>
      <c r="P13" s="33"/>
      <c r="Q13" s="34">
        <f t="shared" si="3"/>
        <v>0</v>
      </c>
      <c r="R13" s="14"/>
      <c r="S13" s="33"/>
      <c r="T13" s="33"/>
      <c r="U13" s="33"/>
      <c r="V13" s="34"/>
      <c r="W13" s="33"/>
      <c r="X13" s="34"/>
      <c r="Y13" s="13">
        <f t="shared" si="5"/>
        <v>0</v>
      </c>
      <c r="Z13" s="33"/>
      <c r="AA13" s="33"/>
      <c r="AB13" s="33"/>
      <c r="AC13" s="33"/>
      <c r="AD13" s="33"/>
      <c r="AE13" s="33"/>
      <c r="AF13" s="43">
        <f t="shared" si="6"/>
        <v>0</v>
      </c>
      <c r="AG13" s="14"/>
      <c r="AH13" s="33"/>
      <c r="AI13" s="33"/>
      <c r="AJ13" s="33"/>
      <c r="AK13" s="34"/>
      <c r="AL13" s="33"/>
      <c r="AM13" s="34"/>
      <c r="AN13" s="13">
        <f>AH13+AI13+AJ13+AK13+AL13+AM13</f>
        <v>0</v>
      </c>
      <c r="AO13" s="33"/>
      <c r="AP13" s="33"/>
      <c r="AQ13" s="49"/>
      <c r="AR13" s="33"/>
      <c r="AS13" s="33"/>
      <c r="AT13" s="33"/>
      <c r="AU13" s="34">
        <f t="shared" si="9"/>
        <v>0</v>
      </c>
      <c r="AV13" s="13"/>
      <c r="AW13" s="13"/>
      <c r="AX13" s="33"/>
      <c r="AY13" s="33">
        <v>11935.9</v>
      </c>
      <c r="AZ13" s="33"/>
      <c r="BA13" s="34"/>
      <c r="BB13" s="33"/>
      <c r="BC13" s="34"/>
      <c r="BD13" s="13">
        <f t="shared" si="0"/>
        <v>11935.9</v>
      </c>
      <c r="BE13" s="20"/>
      <c r="BF13" s="33"/>
      <c r="BG13" s="49"/>
      <c r="BH13" s="33"/>
      <c r="BI13" s="33"/>
      <c r="BJ13" s="33">
        <f>1060+5460</f>
        <v>6520</v>
      </c>
      <c r="BK13" s="26">
        <f t="shared" si="1"/>
        <v>18455.9</v>
      </c>
      <c r="BL13" s="56">
        <v>626</v>
      </c>
      <c r="BM13" s="53" t="s">
        <v>46</v>
      </c>
    </row>
    <row r="14" spans="1:63" ht="12.75">
      <c r="A14" s="22" t="s">
        <v>49</v>
      </c>
      <c r="B14" s="23" t="s">
        <v>50</v>
      </c>
      <c r="C14" s="13"/>
      <c r="D14" s="33"/>
      <c r="E14" s="33"/>
      <c r="F14" s="33"/>
      <c r="G14" s="34"/>
      <c r="H14" s="33"/>
      <c r="I14" s="34"/>
      <c r="J14" s="34"/>
      <c r="K14" s="20"/>
      <c r="L14" s="33"/>
      <c r="M14" s="33"/>
      <c r="N14" s="33"/>
      <c r="O14" s="33"/>
      <c r="P14" s="33"/>
      <c r="Q14" s="34">
        <f t="shared" si="3"/>
        <v>0</v>
      </c>
      <c r="R14" s="13">
        <f>R15+R16+R17+R18+R19+R20+R21+R22+R24+R25+R26+R27+R32+R35</f>
        <v>170323200</v>
      </c>
      <c r="S14" s="33"/>
      <c r="T14" s="33"/>
      <c r="U14" s="33"/>
      <c r="V14" s="34"/>
      <c r="W14" s="33"/>
      <c r="X14" s="34"/>
      <c r="Y14" s="34"/>
      <c r="Z14" s="20"/>
      <c r="AA14" s="33"/>
      <c r="AB14" s="33"/>
      <c r="AC14" s="33"/>
      <c r="AD14" s="33"/>
      <c r="AE14" s="33"/>
      <c r="AF14" s="43">
        <f t="shared" si="6"/>
        <v>0</v>
      </c>
      <c r="AG14" s="13"/>
      <c r="AH14" s="33"/>
      <c r="AI14" s="33"/>
      <c r="AJ14" s="33"/>
      <c r="AK14" s="34"/>
      <c r="AL14" s="33"/>
      <c r="AM14" s="34"/>
      <c r="AN14" s="34"/>
      <c r="AO14" s="20"/>
      <c r="AP14" s="33"/>
      <c r="AQ14" s="49"/>
      <c r="AR14" s="33"/>
      <c r="AS14" s="33"/>
      <c r="AT14" s="33"/>
      <c r="AU14" s="34">
        <f t="shared" si="9"/>
        <v>0</v>
      </c>
      <c r="AV14" s="13"/>
      <c r="AW14" s="57"/>
      <c r="AX14" s="58"/>
      <c r="AY14" s="33"/>
      <c r="AZ14" s="33"/>
      <c r="BA14" s="33"/>
      <c r="BB14" s="33"/>
      <c r="BC14" s="33"/>
      <c r="BD14" s="25">
        <f t="shared" si="0"/>
        <v>0</v>
      </c>
      <c r="BE14" s="33"/>
      <c r="BF14" s="58"/>
      <c r="BG14" s="33"/>
      <c r="BH14" s="33"/>
      <c r="BI14" s="33"/>
      <c r="BJ14" s="33"/>
      <c r="BK14" s="37">
        <f t="shared" si="1"/>
        <v>0</v>
      </c>
    </row>
    <row r="15" spans="1:65" ht="12.75">
      <c r="A15" s="30">
        <v>1</v>
      </c>
      <c r="B15" s="31" t="s">
        <v>51</v>
      </c>
      <c r="C15" s="59">
        <v>1150000</v>
      </c>
      <c r="D15" s="58">
        <f>53294+480</f>
        <v>53774</v>
      </c>
      <c r="E15" s="33">
        <f>77846+5640</f>
        <v>83486</v>
      </c>
      <c r="F15" s="33">
        <f>7080</f>
        <v>7080</v>
      </c>
      <c r="G15" s="33">
        <f>209903+3660</f>
        <v>213563</v>
      </c>
      <c r="H15" s="33">
        <f>29634+4380</f>
        <v>34014</v>
      </c>
      <c r="I15" s="33">
        <f>36169+2760</f>
        <v>38929</v>
      </c>
      <c r="J15" s="32">
        <f>D15+E15+F15+G15+H15+I15</f>
        <v>430846</v>
      </c>
      <c r="K15" s="33">
        <f>40823+1500</f>
        <v>42323</v>
      </c>
      <c r="L15" s="58">
        <f>84402+7260</f>
        <v>91662</v>
      </c>
      <c r="M15" s="33">
        <f>22897+3300</f>
        <v>26197</v>
      </c>
      <c r="N15" s="33">
        <f>54464.8+1320</f>
        <v>55784.8</v>
      </c>
      <c r="O15" s="33">
        <f>41512+9780</f>
        <v>51292</v>
      </c>
      <c r="P15" s="33">
        <v>49105</v>
      </c>
      <c r="Q15" s="13">
        <f t="shared" si="3"/>
        <v>747209.8</v>
      </c>
      <c r="R15" s="59">
        <v>900000</v>
      </c>
      <c r="S15" s="58">
        <v>74406.4</v>
      </c>
      <c r="T15" s="33">
        <v>192997.6</v>
      </c>
      <c r="U15" s="33">
        <v>340</v>
      </c>
      <c r="V15" s="33">
        <v>16107.6</v>
      </c>
      <c r="W15" s="33"/>
      <c r="X15" s="33">
        <v>16960</v>
      </c>
      <c r="Y15" s="25">
        <f>S15+T15+U15+V15+W15+X15</f>
        <v>300811.6</v>
      </c>
      <c r="Z15" s="33">
        <f>37092.8+11808.75</f>
        <v>48901.55</v>
      </c>
      <c r="AA15" s="58"/>
      <c r="AB15" s="33">
        <v>10271.8</v>
      </c>
      <c r="AC15" s="33">
        <f>49996+21571</f>
        <v>71567</v>
      </c>
      <c r="AD15" s="33">
        <f>340+13180</f>
        <v>13520</v>
      </c>
      <c r="AE15" s="33">
        <f>180073.6+12560</f>
        <v>192633.6</v>
      </c>
      <c r="AF15" s="36">
        <f t="shared" si="6"/>
        <v>637705.5499999999</v>
      </c>
      <c r="AG15" s="57">
        <v>900000</v>
      </c>
      <c r="AH15" s="58">
        <v>32272</v>
      </c>
      <c r="AI15" s="33">
        <f>38924+26665</f>
        <v>65589</v>
      </c>
      <c r="AJ15" s="33">
        <v>30592</v>
      </c>
      <c r="AK15" s="33">
        <f>24611+23158</f>
        <v>47769</v>
      </c>
      <c r="AL15" s="33">
        <f>15288+11340</f>
        <v>26628</v>
      </c>
      <c r="AM15" s="33">
        <f>11340</f>
        <v>11340</v>
      </c>
      <c r="AN15" s="25">
        <f aca="true" t="shared" si="10" ref="AN15:AN41">AH15+AI15+AJ15+AK15+AL15+AM15</f>
        <v>214190</v>
      </c>
      <c r="AO15" s="33">
        <f>27503+11104</f>
        <v>38607</v>
      </c>
      <c r="AP15" s="58">
        <f>22914.4+9090</f>
        <v>32004.4</v>
      </c>
      <c r="AQ15" s="33">
        <v>16648</v>
      </c>
      <c r="AR15" s="33">
        <f>12985.6</f>
        <v>12985.6</v>
      </c>
      <c r="AS15" s="33">
        <v>18025.6</v>
      </c>
      <c r="AT15" s="33">
        <f>23267.2+53320</f>
        <v>76587.2</v>
      </c>
      <c r="AU15" s="37">
        <f t="shared" si="9"/>
        <v>409047.8</v>
      </c>
      <c r="AV15" s="60" t="s">
        <v>52</v>
      </c>
      <c r="AW15" s="57"/>
      <c r="AX15" s="58">
        <f>27332.8+14797</f>
        <v>42129.8</v>
      </c>
      <c r="AY15" s="33">
        <f>13700+32641.6</f>
        <v>46341.6</v>
      </c>
      <c r="AZ15" s="33">
        <f>15280+28861.6</f>
        <v>44141.6</v>
      </c>
      <c r="BA15" s="33">
        <f>22696+13837</f>
        <v>36533</v>
      </c>
      <c r="BB15" s="33">
        <f>16110.4+13690</f>
        <v>29800.4</v>
      </c>
      <c r="BC15" s="33">
        <f>16916.8+16430</f>
        <v>33346.8</v>
      </c>
      <c r="BD15" s="25">
        <f t="shared" si="0"/>
        <v>232293.2</v>
      </c>
      <c r="BE15" s="61">
        <f>15253.6+8700+16650</f>
        <v>40603.6</v>
      </c>
      <c r="BF15" s="58">
        <f>18277.6+12780</f>
        <v>31057.6</v>
      </c>
      <c r="BG15" s="33">
        <f>16984+18710</f>
        <v>35694</v>
      </c>
      <c r="BH15" s="33">
        <f>15388+15740</f>
        <v>31128</v>
      </c>
      <c r="BI15" s="33">
        <f>17488+18940</f>
        <v>36428</v>
      </c>
      <c r="BJ15" s="33">
        <f>19184.8+21900</f>
        <v>41084.8</v>
      </c>
      <c r="BK15" s="62">
        <f t="shared" si="1"/>
        <v>448289.19999999995</v>
      </c>
      <c r="BL15" s="63" t="s">
        <v>53</v>
      </c>
      <c r="BM15" s="63"/>
    </row>
    <row r="16" spans="1:65" ht="12.75">
      <c r="A16" s="30">
        <v>2</v>
      </c>
      <c r="B16" s="31" t="s">
        <v>54</v>
      </c>
      <c r="C16" s="59">
        <v>6100000</v>
      </c>
      <c r="D16" s="58">
        <v>468647</v>
      </c>
      <c r="E16" s="33">
        <v>106085</v>
      </c>
      <c r="F16" s="33"/>
      <c r="G16" s="33">
        <v>304800</v>
      </c>
      <c r="H16" s="33">
        <v>76591</v>
      </c>
      <c r="I16" s="33">
        <v>113372</v>
      </c>
      <c r="J16" s="32">
        <f aca="true" t="shared" si="11" ref="J16:J37">D16+E16+F16+G16+H16+I16</f>
        <v>1069495</v>
      </c>
      <c r="K16" s="33">
        <v>2210740</v>
      </c>
      <c r="L16" s="58">
        <f>28800+24000+31381</f>
        <v>84181</v>
      </c>
      <c r="M16" s="33">
        <f>34632+64500</f>
        <v>99132</v>
      </c>
      <c r="N16" s="33">
        <v>45362.6</v>
      </c>
      <c r="O16" s="33">
        <v>54000</v>
      </c>
      <c r="P16" s="33">
        <f>47071+35748+152112+47071+119700+1172688+310000</f>
        <v>1884390</v>
      </c>
      <c r="Q16" s="13">
        <f>J16+K16+L16+M16+N16+O16+P16</f>
        <v>5447300.6</v>
      </c>
      <c r="R16" s="59">
        <v>4000000</v>
      </c>
      <c r="S16" s="58">
        <v>103800</v>
      </c>
      <c r="T16" s="33"/>
      <c r="U16" s="33"/>
      <c r="V16" s="33">
        <v>5800</v>
      </c>
      <c r="W16" s="33">
        <v>112483</v>
      </c>
      <c r="X16" s="33">
        <f>936199</f>
        <v>936199</v>
      </c>
      <c r="Y16" s="25">
        <f>S16+T16+U16+V16+W16+X16</f>
        <v>1158282</v>
      </c>
      <c r="Z16" s="33">
        <f>67500+5500+32855+117600</f>
        <v>223455</v>
      </c>
      <c r="AA16" s="58">
        <f>16532.5+15000+57960+49000</f>
        <v>138492.5</v>
      </c>
      <c r="AB16" s="33">
        <v>33065</v>
      </c>
      <c r="AC16" s="33">
        <v>130680</v>
      </c>
      <c r="AD16" s="33">
        <f>43750+10200</f>
        <v>53950</v>
      </c>
      <c r="AE16" s="33">
        <f>33065+120292+210091+49597.5+167640+317160</f>
        <v>897845.5</v>
      </c>
      <c r="AF16" s="36">
        <f>Y16+Z16+AA16+AB16+AC16+AD16+AE16</f>
        <v>2635770</v>
      </c>
      <c r="AG16" s="57">
        <v>4864800</v>
      </c>
      <c r="AH16" s="58"/>
      <c r="AI16" s="33">
        <f>185991.6+5000+5000</f>
        <v>195991.6</v>
      </c>
      <c r="AJ16" s="33">
        <v>5000</v>
      </c>
      <c r="AK16" s="33">
        <v>19200</v>
      </c>
      <c r="AL16" s="33">
        <f>125368+5000</f>
        <v>130368</v>
      </c>
      <c r="AM16" s="33">
        <f>5000+125600+19200+133560</f>
        <v>283360</v>
      </c>
      <c r="AN16" s="25">
        <f t="shared" si="10"/>
        <v>633919.6</v>
      </c>
      <c r="AO16" s="33">
        <f>5000+181992+5000</f>
        <v>191992</v>
      </c>
      <c r="AP16" s="58">
        <v>38400</v>
      </c>
      <c r="AQ16" s="33">
        <v>5000</v>
      </c>
      <c r="AR16" s="33">
        <f>142920+5000+13500+179736</f>
        <v>341156</v>
      </c>
      <c r="AS16" s="33">
        <f>28800+5000+5000+244920</f>
        <v>283720</v>
      </c>
      <c r="AT16" s="33">
        <f>108804+5000+45000+118078.56+57600+384840.8+168000+363960+110880+118840+130768</f>
        <v>1611771.3599999999</v>
      </c>
      <c r="AU16" s="37">
        <f>AN16+AO16+AP16+AQ16+AR16+AS16+AT16</f>
        <v>3105958.96</v>
      </c>
      <c r="AV16" s="60" t="s">
        <v>52</v>
      </c>
      <c r="AW16" s="57"/>
      <c r="AX16" s="58">
        <f>5000</f>
        <v>5000</v>
      </c>
      <c r="AY16" s="38">
        <f>5000+66256</f>
        <v>71256</v>
      </c>
      <c r="AZ16" s="33">
        <f>63928+5000</f>
        <v>68928</v>
      </c>
      <c r="BA16" s="34">
        <f>65600+5000+110878+147600+66004+5000</f>
        <v>400082</v>
      </c>
      <c r="BB16" s="33">
        <v>5000</v>
      </c>
      <c r="BC16" s="33"/>
      <c r="BD16" s="25">
        <f t="shared" si="0"/>
        <v>550266</v>
      </c>
      <c r="BE16" s="33"/>
      <c r="BF16" s="58">
        <f>5000+5000+182896</f>
        <v>192896</v>
      </c>
      <c r="BG16" s="33">
        <f>5000+189113+57600</f>
        <v>251713</v>
      </c>
      <c r="BH16" s="33">
        <f>35400+206150+105800+70980+69068+84000+7200+145192+5000+35400</f>
        <v>764190</v>
      </c>
      <c r="BI16" s="33">
        <f>36000+5000+19200+71272+49509+69572</f>
        <v>250553</v>
      </c>
      <c r="BJ16" s="33">
        <f>5000+64668+81600+43200+107500+25610+119872+5000+5000+48852+104650+272000</f>
        <v>882952</v>
      </c>
      <c r="BK16" s="64">
        <f t="shared" si="1"/>
        <v>2892570</v>
      </c>
      <c r="BL16" s="56">
        <v>2620570</v>
      </c>
      <c r="BM16" s="63" t="s">
        <v>55</v>
      </c>
    </row>
    <row r="17" spans="1:64" ht="12.75">
      <c r="A17" s="30">
        <v>3</v>
      </c>
      <c r="B17" s="31" t="s">
        <v>56</v>
      </c>
      <c r="C17" s="59">
        <v>1797200</v>
      </c>
      <c r="D17" s="58"/>
      <c r="E17" s="33"/>
      <c r="F17" s="33"/>
      <c r="G17" s="34"/>
      <c r="H17" s="33"/>
      <c r="I17" s="33"/>
      <c r="J17" s="32">
        <f t="shared" si="11"/>
        <v>0</v>
      </c>
      <c r="K17" s="20"/>
      <c r="L17" s="58"/>
      <c r="M17" s="33"/>
      <c r="N17" s="33"/>
      <c r="O17" s="33"/>
      <c r="P17" s="33"/>
      <c r="Q17" s="13">
        <f t="shared" si="3"/>
        <v>0</v>
      </c>
      <c r="R17" s="59">
        <v>790000</v>
      </c>
      <c r="S17" s="58"/>
      <c r="T17" s="33"/>
      <c r="U17" s="33"/>
      <c r="V17" s="34"/>
      <c r="W17" s="33"/>
      <c r="X17" s="33">
        <f>531720+21480</f>
        <v>553200</v>
      </c>
      <c r="Y17" s="25">
        <f>S17+T17+U17+V17+W17+X17</f>
        <v>553200</v>
      </c>
      <c r="Z17" s="33">
        <f>66480+92800</f>
        <v>159280</v>
      </c>
      <c r="AA17" s="58"/>
      <c r="AB17" s="33"/>
      <c r="AC17" s="33"/>
      <c r="AD17" s="33"/>
      <c r="AE17" s="33">
        <v>55440</v>
      </c>
      <c r="AF17" s="36">
        <f t="shared" si="6"/>
        <v>767920</v>
      </c>
      <c r="AG17" s="57">
        <v>1692000</v>
      </c>
      <c r="AH17" s="58"/>
      <c r="AI17" s="33"/>
      <c r="AJ17" s="33">
        <v>274800</v>
      </c>
      <c r="AK17" s="34">
        <v>301680</v>
      </c>
      <c r="AL17" s="33"/>
      <c r="AM17" s="33"/>
      <c r="AN17" s="25">
        <f t="shared" si="10"/>
        <v>576480</v>
      </c>
      <c r="AO17" s="33"/>
      <c r="AP17" s="58"/>
      <c r="AQ17" s="49"/>
      <c r="AR17" s="33">
        <v>26848</v>
      </c>
      <c r="AS17" s="33">
        <v>27076</v>
      </c>
      <c r="AT17" s="33">
        <f>78000+158400</f>
        <v>236400</v>
      </c>
      <c r="AU17" s="37">
        <f t="shared" si="9"/>
        <v>866804</v>
      </c>
      <c r="AV17" s="60" t="s">
        <v>52</v>
      </c>
      <c r="AW17" s="57"/>
      <c r="AX17" s="58">
        <f>27076</f>
        <v>27076</v>
      </c>
      <c r="AY17" s="33"/>
      <c r="AZ17" s="33"/>
      <c r="BA17" s="34">
        <v>27076</v>
      </c>
      <c r="BB17" s="33">
        <f>27082+13878</f>
        <v>40960</v>
      </c>
      <c r="BD17" s="25">
        <f>AX17+AY17+AZ17+BA17+BB17+BC17</f>
        <v>95112</v>
      </c>
      <c r="BF17" s="58"/>
      <c r="BG17" s="49"/>
      <c r="BH17" s="33">
        <v>11238</v>
      </c>
      <c r="BI17" s="33"/>
      <c r="BJ17" s="33"/>
      <c r="BK17" s="62">
        <f t="shared" si="1"/>
        <v>106350</v>
      </c>
      <c r="BL17" s="63">
        <v>619</v>
      </c>
    </row>
    <row r="18" spans="1:63" ht="12.75">
      <c r="A18" s="30">
        <v>4</v>
      </c>
      <c r="B18" s="65" t="s">
        <v>57</v>
      </c>
      <c r="C18" s="59">
        <v>480000</v>
      </c>
      <c r="D18" s="58"/>
      <c r="E18" s="33"/>
      <c r="F18" s="33"/>
      <c r="G18" s="34"/>
      <c r="H18" s="33"/>
      <c r="I18" s="33"/>
      <c r="J18" s="32">
        <f t="shared" si="11"/>
        <v>0</v>
      </c>
      <c r="K18" s="20"/>
      <c r="L18" s="58"/>
      <c r="M18" s="33"/>
      <c r="N18" s="33"/>
      <c r="O18" s="33"/>
      <c r="P18" s="33"/>
      <c r="Q18" s="13">
        <f t="shared" si="3"/>
        <v>0</v>
      </c>
      <c r="R18" s="59">
        <v>394000</v>
      </c>
      <c r="S18" s="58"/>
      <c r="T18" s="61">
        <v>47783</v>
      </c>
      <c r="U18" s="33">
        <v>245220</v>
      </c>
      <c r="V18" s="34"/>
      <c r="W18" s="33"/>
      <c r="Y18" s="25">
        <f>S18+T18+U18+V18+W18+X18</f>
        <v>293003</v>
      </c>
      <c r="Z18" s="20"/>
      <c r="AA18" s="58"/>
      <c r="AB18" s="33"/>
      <c r="AC18" s="33"/>
      <c r="AD18" s="33">
        <v>56310</v>
      </c>
      <c r="AE18" s="33"/>
      <c r="AF18" s="36">
        <f t="shared" si="6"/>
        <v>349313</v>
      </c>
      <c r="AG18" s="57">
        <v>538200</v>
      </c>
      <c r="AH18" s="58"/>
      <c r="AI18" s="33">
        <v>27596</v>
      </c>
      <c r="AJ18" s="33">
        <v>140610</v>
      </c>
      <c r="AK18" s="34">
        <v>15000</v>
      </c>
      <c r="AL18" s="33"/>
      <c r="AN18" s="25">
        <f t="shared" si="10"/>
        <v>183206</v>
      </c>
      <c r="AO18" s="33">
        <v>47907</v>
      </c>
      <c r="AP18" s="58"/>
      <c r="AQ18" s="49"/>
      <c r="AR18" s="33"/>
      <c r="AS18" s="33">
        <v>52089</v>
      </c>
      <c r="AT18" s="33"/>
      <c r="AU18" s="37">
        <f t="shared" si="9"/>
        <v>283202</v>
      </c>
      <c r="AV18" s="60" t="s">
        <v>46</v>
      </c>
      <c r="AW18" s="57"/>
      <c r="AX18" s="58"/>
      <c r="AY18" s="33">
        <f>72352</f>
        <v>72352</v>
      </c>
      <c r="AZ18" s="33"/>
      <c r="BA18" s="33">
        <v>400000</v>
      </c>
      <c r="BB18" s="33"/>
      <c r="BC18" s="33"/>
      <c r="BD18" s="25">
        <f>AX18+AY18+AZ18+BA18+BB18+BC18</f>
        <v>472352</v>
      </c>
      <c r="BE18" s="33"/>
      <c r="BF18" s="58"/>
      <c r="BG18" s="33"/>
      <c r="BH18" s="33"/>
      <c r="BI18" s="33"/>
      <c r="BJ18" s="33"/>
      <c r="BK18" s="37">
        <f t="shared" si="1"/>
        <v>472352</v>
      </c>
    </row>
    <row r="19" spans="1:63" ht="12.75">
      <c r="A19" s="30">
        <v>5</v>
      </c>
      <c r="B19" s="31" t="s">
        <v>58</v>
      </c>
      <c r="C19" s="59">
        <v>5500000</v>
      </c>
      <c r="D19" s="58">
        <f>180+31800+40993+40974</f>
        <v>113947</v>
      </c>
      <c r="E19" s="33"/>
      <c r="F19" s="33">
        <v>47900</v>
      </c>
      <c r="G19" s="33">
        <v>743030</v>
      </c>
      <c r="H19" s="33">
        <v>232060</v>
      </c>
      <c r="I19" s="33">
        <v>24700</v>
      </c>
      <c r="J19" s="32">
        <f t="shared" si="11"/>
        <v>1161637</v>
      </c>
      <c r="K19" s="33">
        <v>40200</v>
      </c>
      <c r="L19" s="58">
        <v>24700</v>
      </c>
      <c r="M19" s="33">
        <f>43200+24700+174198+127640</f>
        <v>369738</v>
      </c>
      <c r="N19" s="33">
        <f>24200+245461+9600+32137+102600</f>
        <v>413998</v>
      </c>
      <c r="O19" s="33">
        <f>603798-54000</f>
        <v>549798</v>
      </c>
      <c r="P19" s="33">
        <f>24200+51025+32137+245461+11000+77280+43200</f>
        <v>484303</v>
      </c>
      <c r="Q19" s="13">
        <f>J19+K19+L19+M19+N19+O19+P19</f>
        <v>3044374</v>
      </c>
      <c r="R19" s="59">
        <v>5925000</v>
      </c>
      <c r="S19" s="58">
        <f>32137+24700+245461+38432</f>
        <v>340730</v>
      </c>
      <c r="T19" s="33">
        <f>288478+24700+69600+298800+778800</f>
        <v>1460378</v>
      </c>
      <c r="U19" s="33">
        <f>25200+98000+9600+5000+57271+27684+52200</f>
        <v>274955</v>
      </c>
      <c r="V19" s="33">
        <f>14400+66017+5000+38600+252000+39300+73000</f>
        <v>488317</v>
      </c>
      <c r="W19" s="33">
        <f>63887+59760+5000+43000+93950+53500+107000+15000</f>
        <v>441097</v>
      </c>
      <c r="X19" s="33">
        <f>14400+22464+5000+61200+66017+28600</f>
        <v>197681</v>
      </c>
      <c r="Y19" s="25">
        <f>S19+T19+U19+V19+W19+X19</f>
        <v>3203158</v>
      </c>
      <c r="Z19" s="33">
        <f>63887+28000+5000+118920+19200</f>
        <v>235007</v>
      </c>
      <c r="AA19" s="58">
        <f>66017+28600+3000+28600+95750</f>
        <v>221967</v>
      </c>
      <c r="AB19" s="33">
        <f>66017+5000+19200+19200+1500</f>
        <v>110917</v>
      </c>
      <c r="AC19" s="33">
        <f>63887+28000+5000</f>
        <v>96887</v>
      </c>
      <c r="AD19" s="33">
        <f>66017+20700+14400+28600</f>
        <v>129717</v>
      </c>
      <c r="AE19" s="33">
        <f>16800+28800+63887+5000+66017+6000+55000+15800</f>
        <v>257304</v>
      </c>
      <c r="AF19" s="36">
        <f>Y19+Z19+AA19+AB19+AC19+AD19+AE19</f>
        <v>4254957</v>
      </c>
      <c r="AG19" s="57">
        <v>4550200</v>
      </c>
      <c r="AH19" s="58">
        <f>28800+40450+17160</f>
        <v>86410</v>
      </c>
      <c r="AI19" s="33">
        <f>61688+65810+118800+17160+10200</f>
        <v>273658</v>
      </c>
      <c r="AJ19" s="33">
        <f>16080+59442</f>
        <v>75522</v>
      </c>
      <c r="AK19" s="33">
        <f>56832+16050+252000+17160+10615+4881+13140+39593+28800</f>
        <v>439071</v>
      </c>
      <c r="AL19" s="33">
        <f>56832+39593+96000</f>
        <v>192425</v>
      </c>
      <c r="AM19" s="33">
        <f>24150+56832+39304+30000</f>
        <v>150286</v>
      </c>
      <c r="AN19" s="25">
        <f t="shared" si="10"/>
        <v>1217372</v>
      </c>
      <c r="AO19" s="33">
        <f>56832+19500+39304</f>
        <v>115636</v>
      </c>
      <c r="AP19" s="58">
        <f>39015+34950+56832+97000</f>
        <v>227797</v>
      </c>
      <c r="AQ19" s="33">
        <f>39015+19950+1200+56832</f>
        <v>116997</v>
      </c>
      <c r="AR19" s="33">
        <f>39015+56832+19500</f>
        <v>115347</v>
      </c>
      <c r="AS19" s="33">
        <f>19950+39015+56832</f>
        <v>115797</v>
      </c>
      <c r="AT19" s="33">
        <f>19500+113664+39015+3000+63450+19950</f>
        <v>258579</v>
      </c>
      <c r="AU19" s="37">
        <f>AN19+AO19+AP19+AQ19+AR19+AS19+AT19</f>
        <v>2167525</v>
      </c>
      <c r="AV19" s="13"/>
      <c r="AW19" s="57"/>
      <c r="AX19" s="58">
        <f>68528+38726</f>
        <v>107254</v>
      </c>
      <c r="AY19" s="33">
        <f>56832+15000+19950+17420+56832</f>
        <v>166034</v>
      </c>
      <c r="AZ19" s="33">
        <f>20000+27380+18600+54740</f>
        <v>120720</v>
      </c>
      <c r="BA19" s="33">
        <f>20400+59342+54740+113400+15069</f>
        <v>262951</v>
      </c>
      <c r="BB19" s="33">
        <f>59342+38800+53920+60240+540000+540000+126000+126000+10000</f>
        <v>1554302</v>
      </c>
      <c r="BC19" s="33">
        <f>61320+39800+7200+99594</f>
        <v>207914</v>
      </c>
      <c r="BD19" s="25">
        <f>AX19+AY19+AZ19+BA19+BB19+BC19</f>
        <v>2419175</v>
      </c>
      <c r="BE19" s="33">
        <f>59342+53105+38800+53105</f>
        <v>204352</v>
      </c>
      <c r="BF19" s="58">
        <f>61320+119986.27+52288+50800+27076+38400</f>
        <v>349870.27</v>
      </c>
      <c r="BG19" s="33">
        <f>27076+52288+61320+119986+50800</f>
        <v>311470</v>
      </c>
      <c r="BH19" s="33">
        <f>27000+52288+179328+38800+120000</f>
        <v>417416</v>
      </c>
      <c r="BI19" s="33">
        <f>21812+39800+27154+181306+51880+38800</f>
        <v>360752</v>
      </c>
      <c r="BJ19" s="33">
        <f>43995+51267+139017+66675+39800+18000+219500+59342+61320+14000</f>
        <v>712916</v>
      </c>
      <c r="BK19" s="37">
        <f t="shared" si="1"/>
        <v>4775951.27</v>
      </c>
    </row>
    <row r="20" spans="1:64" ht="12.75">
      <c r="A20" s="30">
        <v>6</v>
      </c>
      <c r="B20" s="31" t="s">
        <v>59</v>
      </c>
      <c r="C20" s="59">
        <v>20000000</v>
      </c>
      <c r="D20" s="58"/>
      <c r="E20" s="33"/>
      <c r="F20" s="66"/>
      <c r="G20" s="33"/>
      <c r="H20" s="33"/>
      <c r="I20" s="66"/>
      <c r="J20" s="32">
        <f t="shared" si="11"/>
        <v>0</v>
      </c>
      <c r="K20" s="33"/>
      <c r="L20" s="58"/>
      <c r="M20" s="33"/>
      <c r="N20" s="33"/>
      <c r="O20" s="33"/>
      <c r="P20" s="33">
        <v>86100</v>
      </c>
      <c r="Q20" s="13">
        <f t="shared" si="3"/>
        <v>86100</v>
      </c>
      <c r="R20" s="59">
        <v>0</v>
      </c>
      <c r="S20" s="58"/>
      <c r="T20" s="33"/>
      <c r="U20" s="33"/>
      <c r="V20" s="33"/>
      <c r="W20" s="33"/>
      <c r="X20" s="66"/>
      <c r="Y20" s="25">
        <f aca="true" t="shared" si="12" ref="Y20:Y42">S20+T20+U20+V20+W20+X20</f>
        <v>0</v>
      </c>
      <c r="Z20" s="33"/>
      <c r="AA20" s="58"/>
      <c r="AB20" s="33"/>
      <c r="AC20" s="33"/>
      <c r="AD20" s="33"/>
      <c r="AE20" s="33"/>
      <c r="AF20" s="36">
        <f t="shared" si="6"/>
        <v>0</v>
      </c>
      <c r="AG20" s="57">
        <v>200000</v>
      </c>
      <c r="AH20" s="58"/>
      <c r="AI20" s="33">
        <v>23700</v>
      </c>
      <c r="AJ20" s="33"/>
      <c r="AK20" s="33"/>
      <c r="AL20" s="33"/>
      <c r="AM20" s="66"/>
      <c r="AN20" s="25">
        <f t="shared" si="10"/>
        <v>23700</v>
      </c>
      <c r="AO20" s="33"/>
      <c r="AP20" s="58"/>
      <c r="AQ20" s="33"/>
      <c r="AR20" s="33">
        <v>39000</v>
      </c>
      <c r="AS20" s="33"/>
      <c r="AT20" s="33"/>
      <c r="AU20" s="37">
        <f t="shared" si="9"/>
        <v>62700</v>
      </c>
      <c r="AV20" s="60" t="s">
        <v>52</v>
      </c>
      <c r="AW20" s="57"/>
      <c r="AX20" s="58"/>
      <c r="AY20" s="33"/>
      <c r="AZ20" s="33"/>
      <c r="BA20" s="34"/>
      <c r="BB20" s="33"/>
      <c r="BC20" s="33"/>
      <c r="BD20" s="25">
        <f aca="true" t="shared" si="13" ref="BD20:BD33">AX20+AY20+AZ20+BA20+BB20+BC20</f>
        <v>0</v>
      </c>
      <c r="BE20" s="33"/>
      <c r="BF20" s="58"/>
      <c r="BG20" s="33"/>
      <c r="BH20" s="33"/>
      <c r="BI20" s="33">
        <v>20000</v>
      </c>
      <c r="BJ20" s="33"/>
      <c r="BK20" s="62">
        <f t="shared" si="1"/>
        <v>20000</v>
      </c>
      <c r="BL20" s="63">
        <v>654</v>
      </c>
    </row>
    <row r="21" spans="1:64" ht="12.75">
      <c r="A21" s="30">
        <v>7</v>
      </c>
      <c r="B21" s="31" t="s">
        <v>60</v>
      </c>
      <c r="C21" s="59">
        <v>1500000</v>
      </c>
      <c r="D21" s="58"/>
      <c r="E21" s="33"/>
      <c r="F21" s="33">
        <v>238500</v>
      </c>
      <c r="G21" s="34"/>
      <c r="H21" s="33"/>
      <c r="I21" s="33">
        <v>322500</v>
      </c>
      <c r="J21" s="32">
        <f t="shared" si="11"/>
        <v>561000</v>
      </c>
      <c r="K21" s="20"/>
      <c r="L21" s="58">
        <v>126000</v>
      </c>
      <c r="M21" s="33">
        <v>139750</v>
      </c>
      <c r="N21" s="33">
        <v>56000</v>
      </c>
      <c r="O21" s="33">
        <v>238250</v>
      </c>
      <c r="P21" s="33">
        <f>18000+13500+66000+18000+25000</f>
        <v>140500</v>
      </c>
      <c r="Q21" s="13">
        <f t="shared" si="3"/>
        <v>1261500</v>
      </c>
      <c r="R21" s="59">
        <v>1574200</v>
      </c>
      <c r="S21" s="58"/>
      <c r="T21" s="33">
        <v>272250</v>
      </c>
      <c r="U21" s="33"/>
      <c r="V21" s="34"/>
      <c r="W21" s="33">
        <v>215250</v>
      </c>
      <c r="X21" s="33"/>
      <c r="Y21" s="25">
        <f t="shared" si="12"/>
        <v>487500</v>
      </c>
      <c r="Z21" s="33">
        <v>402500</v>
      </c>
      <c r="AA21" s="58"/>
      <c r="AB21" s="33"/>
      <c r="AC21" s="33"/>
      <c r="AD21" s="33">
        <v>233000</v>
      </c>
      <c r="AE21" s="33">
        <v>54000</v>
      </c>
      <c r="AF21" s="36">
        <f t="shared" si="6"/>
        <v>1177000</v>
      </c>
      <c r="AG21" s="57">
        <v>1783000</v>
      </c>
      <c r="AH21" s="58"/>
      <c r="AI21" s="33"/>
      <c r="AJ21" s="33">
        <v>326800</v>
      </c>
      <c r="AK21" s="34"/>
      <c r="AL21" s="33"/>
      <c r="AM21" s="33">
        <v>286800</v>
      </c>
      <c r="AN21" s="25">
        <f t="shared" si="10"/>
        <v>613600</v>
      </c>
      <c r="AO21" s="33"/>
      <c r="AP21" s="58">
        <v>204100</v>
      </c>
      <c r="AQ21" s="33"/>
      <c r="AR21" s="33">
        <v>289600</v>
      </c>
      <c r="AS21" s="33"/>
      <c r="AT21" s="33">
        <v>411900</v>
      </c>
      <c r="AU21" s="37">
        <f t="shared" si="9"/>
        <v>1519200</v>
      </c>
      <c r="AV21" s="60" t="s">
        <v>52</v>
      </c>
      <c r="AW21" s="57"/>
      <c r="AX21" s="67"/>
      <c r="AY21" s="58"/>
      <c r="AZ21" s="33"/>
      <c r="BA21" s="34">
        <f>27000+144000+132000+105000+20250</f>
        <v>428250</v>
      </c>
      <c r="BB21" s="33">
        <v>278300</v>
      </c>
      <c r="BC21" s="33"/>
      <c r="BD21" s="25">
        <f t="shared" si="13"/>
        <v>706550</v>
      </c>
      <c r="BE21" s="33"/>
      <c r="BF21" s="58"/>
      <c r="BG21" s="33">
        <v>503900</v>
      </c>
      <c r="BH21" s="33"/>
      <c r="BI21" s="33"/>
      <c r="BJ21" s="33">
        <v>284400</v>
      </c>
      <c r="BK21" s="62">
        <f t="shared" si="1"/>
        <v>1494850</v>
      </c>
      <c r="BL21" s="63">
        <v>624</v>
      </c>
    </row>
    <row r="22" spans="1:63" ht="12.75">
      <c r="A22" s="30">
        <v>8</v>
      </c>
      <c r="B22" s="31" t="s">
        <v>61</v>
      </c>
      <c r="C22" s="59">
        <v>25000000</v>
      </c>
      <c r="D22" s="58">
        <v>2809000</v>
      </c>
      <c r="E22" s="33">
        <v>2805000</v>
      </c>
      <c r="F22" s="33"/>
      <c r="G22" s="34">
        <v>2808000</v>
      </c>
      <c r="H22" s="33">
        <v>2818000</v>
      </c>
      <c r="I22" s="33"/>
      <c r="J22" s="32">
        <f t="shared" si="11"/>
        <v>11240000</v>
      </c>
      <c r="K22" s="20"/>
      <c r="L22" s="58">
        <f>2795000+19102</f>
        <v>2814102</v>
      </c>
      <c r="M22" s="33">
        <v>2786000</v>
      </c>
      <c r="N22" s="33"/>
      <c r="O22" s="33"/>
      <c r="P22" s="33">
        <v>2764000</v>
      </c>
      <c r="Q22" s="13">
        <f>J22+K22+L22+M22+N22+O22+P22</f>
        <v>19604102</v>
      </c>
      <c r="R22" s="59">
        <v>30000000</v>
      </c>
      <c r="T22" s="58">
        <v>3393000</v>
      </c>
      <c r="U22" s="33">
        <f>4155000</f>
        <v>4155000</v>
      </c>
      <c r="V22" s="34"/>
      <c r="W22" s="33">
        <v>2772000</v>
      </c>
      <c r="X22" s="33"/>
      <c r="Y22" s="25">
        <f t="shared" si="12"/>
        <v>10320000</v>
      </c>
      <c r="Z22" s="33">
        <f>1367500+1371000</f>
        <v>2738500</v>
      </c>
      <c r="AA22" s="58"/>
      <c r="AB22" s="33"/>
      <c r="AC22" s="33">
        <f>2732000+2750000</f>
        <v>5482000</v>
      </c>
      <c r="AD22" s="33">
        <v>563374</v>
      </c>
      <c r="AE22" s="33">
        <v>401659.86</v>
      </c>
      <c r="AF22" s="36">
        <f>Y22+Z22+AA22+AB22+AC22+AD22+AE22</f>
        <v>19505533.86</v>
      </c>
      <c r="AG22" s="57">
        <v>25100000</v>
      </c>
      <c r="AH22" s="67">
        <f>255700+635649</f>
        <v>891349</v>
      </c>
      <c r="AI22" s="58">
        <f>1362500+954000+84922+897080+85185</f>
        <v>3383687</v>
      </c>
      <c r="AJ22" s="33">
        <f>1384539+101159+1079281+522466+257700+1361000</f>
        <v>4706145</v>
      </c>
      <c r="AK22" s="34">
        <f>1353000+1980900+399786</f>
        <v>3733686</v>
      </c>
      <c r="AL22" s="33">
        <f>356809.92+1348000</f>
        <v>1704809.92</v>
      </c>
      <c r="AM22" s="33">
        <f>304506.04+164723.92</f>
        <v>469229.95999999996</v>
      </c>
      <c r="AN22" s="25">
        <f t="shared" si="10"/>
        <v>14888906.879999999</v>
      </c>
      <c r="AO22" s="33">
        <v>97356</v>
      </c>
      <c r="AP22" s="58">
        <f>657745.92+59160.45+348047.36</f>
        <v>1064953.73</v>
      </c>
      <c r="AQ22" s="33">
        <f>799555.94+1560800</f>
        <v>2360355.94</v>
      </c>
      <c r="AR22" s="33">
        <v>301696.34</v>
      </c>
      <c r="AS22" s="33"/>
      <c r="AT22" s="33">
        <v>191612</v>
      </c>
      <c r="AU22" s="37">
        <f>AN22+AO22+AP22+AQ22+AR22+AS22+AT22</f>
        <v>18904880.89</v>
      </c>
      <c r="AV22" s="60" t="s">
        <v>52</v>
      </c>
      <c r="AW22" s="57"/>
      <c r="AX22" s="58">
        <f>40000</f>
        <v>40000</v>
      </c>
      <c r="AY22" s="33">
        <f>1330000+295160+271080</f>
        <v>1896240</v>
      </c>
      <c r="AZ22" s="33">
        <f>33915+99630+140442+69686+104529</f>
        <v>448202</v>
      </c>
      <c r="BA22" s="33">
        <f>124084+1300000+99462+80428</f>
        <v>1603974</v>
      </c>
      <c r="BB22" s="33">
        <f>1175334.84+1272000</f>
        <v>2447334.84</v>
      </c>
      <c r="BC22" s="33">
        <f>1893000+379298</f>
        <v>2272298</v>
      </c>
      <c r="BD22" s="25">
        <f t="shared" si="13"/>
        <v>8708048.84</v>
      </c>
      <c r="BE22" s="33">
        <f>155220+58700+597504</f>
        <v>811424</v>
      </c>
      <c r="BF22" s="58"/>
      <c r="BG22" s="33">
        <f>133698+115539+500761+2528000+107700</f>
        <v>3385698</v>
      </c>
      <c r="BH22" s="33">
        <v>73152</v>
      </c>
      <c r="BI22" s="33">
        <f>363566+435680+184785+243456+86995+1247000</f>
        <v>2561482</v>
      </c>
      <c r="BJ22" s="33">
        <v>516180</v>
      </c>
      <c r="BK22" s="37">
        <f t="shared" si="1"/>
        <v>16055984.84</v>
      </c>
    </row>
    <row r="23" spans="1:66" ht="12.75">
      <c r="A23" s="30"/>
      <c r="B23" s="68" t="s">
        <v>62</v>
      </c>
      <c r="C23" s="59"/>
      <c r="D23" s="58"/>
      <c r="E23" s="33"/>
      <c r="F23" s="33"/>
      <c r="G23" s="34"/>
      <c r="H23" s="33"/>
      <c r="I23" s="33"/>
      <c r="J23" s="32"/>
      <c r="K23" s="20"/>
      <c r="L23" s="58"/>
      <c r="M23" s="33"/>
      <c r="N23" s="33"/>
      <c r="O23" s="33"/>
      <c r="P23" s="33"/>
      <c r="Q23" s="13"/>
      <c r="R23" s="59"/>
      <c r="T23" s="58"/>
      <c r="U23" s="33"/>
      <c r="V23" s="34"/>
      <c r="W23" s="33"/>
      <c r="X23" s="33"/>
      <c r="Y23" s="25"/>
      <c r="Z23" s="33"/>
      <c r="AA23" s="58"/>
      <c r="AB23" s="33"/>
      <c r="AC23" s="33"/>
      <c r="AD23" s="33"/>
      <c r="AE23" s="33"/>
      <c r="AF23" s="36"/>
      <c r="AG23" s="57"/>
      <c r="AH23" s="67"/>
      <c r="AI23" s="58"/>
      <c r="AJ23" s="33"/>
      <c r="AK23" s="34"/>
      <c r="AL23" s="33"/>
      <c r="AM23" s="33"/>
      <c r="AN23" s="25"/>
      <c r="AO23" s="33"/>
      <c r="AP23" s="58"/>
      <c r="AQ23" s="33"/>
      <c r="AR23" s="33"/>
      <c r="AS23" s="33"/>
      <c r="AT23" s="33"/>
      <c r="AU23" s="37"/>
      <c r="AV23" s="60"/>
      <c r="AW23" s="57"/>
      <c r="AX23" s="69">
        <v>40000</v>
      </c>
      <c r="AY23" s="70">
        <f>295160+271080</f>
        <v>566240</v>
      </c>
      <c r="AZ23" s="70">
        <f>33915+99630+140442+69686+104529</f>
        <v>448202</v>
      </c>
      <c r="BA23" s="70">
        <f>124084+99462+80428</f>
        <v>303974</v>
      </c>
      <c r="BB23" s="70">
        <f>146258+125900+214525+252451.84+436200</f>
        <v>1175334.8399999999</v>
      </c>
      <c r="BC23" s="70">
        <v>379298</v>
      </c>
      <c r="BD23" s="71">
        <f>SUM(AX23:BC23)</f>
        <v>2913048.84</v>
      </c>
      <c r="BE23" s="70">
        <f>155220+58700+597504</f>
        <v>811424</v>
      </c>
      <c r="BF23" s="58"/>
      <c r="BG23" s="70">
        <f>133698+115539+500761</f>
        <v>749998</v>
      </c>
      <c r="BH23" s="70">
        <v>73152</v>
      </c>
      <c r="BI23" s="70">
        <f>363566+435680+184785+243456+86995</f>
        <v>1314482</v>
      </c>
      <c r="BJ23" s="70">
        <v>516180</v>
      </c>
      <c r="BK23" s="62">
        <f t="shared" si="1"/>
        <v>6378284.84</v>
      </c>
      <c r="BL23" s="33">
        <v>191612</v>
      </c>
      <c r="BM23" s="72">
        <v>625</v>
      </c>
      <c r="BN23" s="54">
        <f>BK23+BL23</f>
        <v>6569896.84</v>
      </c>
    </row>
    <row r="24" spans="1:65" ht="12.75">
      <c r="A24" s="30">
        <v>9</v>
      </c>
      <c r="B24" s="31" t="s">
        <v>63</v>
      </c>
      <c r="C24" s="59">
        <v>1860000</v>
      </c>
      <c r="D24" s="58">
        <f>8556+58817+50493+4696</f>
        <v>122562</v>
      </c>
      <c r="E24" s="33">
        <v>156159</v>
      </c>
      <c r="F24" s="33">
        <v>13398</v>
      </c>
      <c r="G24" s="33">
        <f>222966</f>
        <v>222966</v>
      </c>
      <c r="H24" s="33">
        <v>99251</v>
      </c>
      <c r="I24" s="33">
        <v>119276</v>
      </c>
      <c r="J24" s="32">
        <f t="shared" si="11"/>
        <v>733612</v>
      </c>
      <c r="K24" s="33">
        <v>40606</v>
      </c>
      <c r="L24" s="58">
        <v>195188</v>
      </c>
      <c r="M24" s="33">
        <v>114510</v>
      </c>
      <c r="N24" s="33">
        <v>111516.4</v>
      </c>
      <c r="O24" s="33">
        <f>112094-9780</f>
        <v>102314</v>
      </c>
      <c r="P24" s="33">
        <f>2100+32463+20813+4857+58592</f>
        <v>118825</v>
      </c>
      <c r="Q24" s="13">
        <f t="shared" si="3"/>
        <v>1416571.4</v>
      </c>
      <c r="R24" s="59">
        <v>1860000</v>
      </c>
      <c r="S24" s="58">
        <v>110399.8</v>
      </c>
      <c r="T24" s="33">
        <v>87763</v>
      </c>
      <c r="U24" s="33">
        <v>195230</v>
      </c>
      <c r="V24" s="33">
        <v>119005.37</v>
      </c>
      <c r="W24" s="33">
        <v>132319</v>
      </c>
      <c r="X24" s="33">
        <v>96778</v>
      </c>
      <c r="Y24" s="25">
        <f t="shared" si="12"/>
        <v>741495.1699999999</v>
      </c>
      <c r="Z24" s="33">
        <v>98412</v>
      </c>
      <c r="AA24" s="58">
        <v>100019</v>
      </c>
      <c r="AB24" s="33">
        <v>107896</v>
      </c>
      <c r="AC24" s="33">
        <v>98970</v>
      </c>
      <c r="AD24" s="33">
        <v>102361</v>
      </c>
      <c r="AE24" s="33">
        <v>140854.48</v>
      </c>
      <c r="AF24" s="36">
        <f t="shared" si="6"/>
        <v>1390007.65</v>
      </c>
      <c r="AG24" s="57">
        <v>1860000</v>
      </c>
      <c r="AH24" s="58">
        <v>90642.06</v>
      </c>
      <c r="AI24" s="33">
        <v>110689</v>
      </c>
      <c r="AJ24" s="33">
        <v>124065</v>
      </c>
      <c r="AK24" s="33">
        <v>122898</v>
      </c>
      <c r="AL24" s="33">
        <f>3774.08+11370.95+10800+1880+1880+10317.98+33174.09+13770+23260.27</f>
        <v>110227.37</v>
      </c>
      <c r="AM24" s="33">
        <v>59757.48</v>
      </c>
      <c r="AN24" s="25">
        <f t="shared" si="10"/>
        <v>618278.9099999999</v>
      </c>
      <c r="AO24" s="33">
        <v>137297</v>
      </c>
      <c r="AP24" s="58">
        <v>107588</v>
      </c>
      <c r="AQ24" s="33">
        <v>170555.51</v>
      </c>
      <c r="AR24" s="33">
        <v>89446.36</v>
      </c>
      <c r="AS24" s="33">
        <v>108777</v>
      </c>
      <c r="AT24" s="33">
        <f>7980+35055.08+9935.49+1880+1800+2580+18642.22</f>
        <v>77872.79000000001</v>
      </c>
      <c r="AU24" s="37">
        <f t="shared" si="9"/>
        <v>1309815.57</v>
      </c>
      <c r="AV24" s="60" t="s">
        <v>52</v>
      </c>
      <c r="AW24" s="57"/>
      <c r="AX24" s="58">
        <f>1800+10300+1880+20657.32+4652.34+18381.82+6342+25877.77+6503.22</f>
        <v>96394.47</v>
      </c>
      <c r="AY24" s="33">
        <f>17280+32496+11537</f>
        <v>61313</v>
      </c>
      <c r="AZ24" s="33">
        <f>1880+1800+7910+8799.99+2580+18750+3030.39+8299.99+8955.49+1800+1800+17280+27259</f>
        <v>110144.85999999999</v>
      </c>
      <c r="BA24" s="33">
        <f>17810+8961.98+9100.01+3410.84+1880+1944.28+34259+17280</f>
        <v>94646.11</v>
      </c>
      <c r="BB24" s="33">
        <v>81534.89</v>
      </c>
      <c r="BC24" s="33">
        <v>93167.99</v>
      </c>
      <c r="BD24" s="25">
        <f t="shared" si="13"/>
        <v>537201.32</v>
      </c>
      <c r="BE24" s="33">
        <v>84838.45</v>
      </c>
      <c r="BF24" s="58">
        <v>88195.6</v>
      </c>
      <c r="BG24" s="33">
        <v>94529</v>
      </c>
      <c r="BH24" s="33">
        <v>93606</v>
      </c>
      <c r="BI24" s="58">
        <v>57034</v>
      </c>
      <c r="BJ24" s="33">
        <v>149864.24</v>
      </c>
      <c r="BK24" s="62">
        <f t="shared" si="1"/>
        <v>1105268.6099999999</v>
      </c>
      <c r="BL24" s="73">
        <v>626</v>
      </c>
      <c r="BM24" s="74"/>
    </row>
    <row r="25" spans="1:65" ht="12.75">
      <c r="A25" s="30">
        <v>10</v>
      </c>
      <c r="B25" s="31" t="s">
        <v>64</v>
      </c>
      <c r="C25" s="59">
        <v>100000</v>
      </c>
      <c r="D25" s="58">
        <v>550</v>
      </c>
      <c r="E25" s="33">
        <v>1600</v>
      </c>
      <c r="F25" s="33">
        <v>450</v>
      </c>
      <c r="G25" s="33">
        <v>3400</v>
      </c>
      <c r="H25" s="33">
        <v>600</v>
      </c>
      <c r="I25" s="33">
        <v>600</v>
      </c>
      <c r="J25" s="32">
        <f t="shared" si="11"/>
        <v>7200</v>
      </c>
      <c r="K25" s="33">
        <v>500</v>
      </c>
      <c r="L25" s="58">
        <v>1700</v>
      </c>
      <c r="M25" s="33">
        <v>2100</v>
      </c>
      <c r="N25" s="33">
        <v>600</v>
      </c>
      <c r="O25" s="33">
        <v>1700</v>
      </c>
      <c r="P25" s="33">
        <v>2100</v>
      </c>
      <c r="Q25" s="13">
        <f t="shared" si="3"/>
        <v>15900</v>
      </c>
      <c r="R25" s="59">
        <v>100000</v>
      </c>
      <c r="S25" s="58">
        <v>600</v>
      </c>
      <c r="T25" s="33">
        <v>1500</v>
      </c>
      <c r="U25" s="33">
        <v>1950</v>
      </c>
      <c r="V25" s="33">
        <v>1150</v>
      </c>
      <c r="W25" s="33">
        <v>2200</v>
      </c>
      <c r="X25" s="33">
        <v>1100</v>
      </c>
      <c r="Y25" s="25">
        <f t="shared" si="12"/>
        <v>8500</v>
      </c>
      <c r="Z25" s="33">
        <v>4000</v>
      </c>
      <c r="AA25" s="58">
        <v>1100</v>
      </c>
      <c r="AB25" s="33">
        <v>2200</v>
      </c>
      <c r="AC25" s="33">
        <v>2900</v>
      </c>
      <c r="AD25" s="33">
        <v>1300</v>
      </c>
      <c r="AE25" s="33">
        <v>2600</v>
      </c>
      <c r="AF25" s="36">
        <f t="shared" si="6"/>
        <v>22600</v>
      </c>
      <c r="AG25" s="57">
        <v>100000</v>
      </c>
      <c r="AH25" s="58">
        <v>2700</v>
      </c>
      <c r="AI25" s="33">
        <v>1400</v>
      </c>
      <c r="AJ25" s="33">
        <v>2100</v>
      </c>
      <c r="AK25" s="33">
        <v>2800</v>
      </c>
      <c r="AL25" s="33">
        <v>1300</v>
      </c>
      <c r="AM25" s="33">
        <v>2100</v>
      </c>
      <c r="AN25" s="25">
        <f t="shared" si="10"/>
        <v>12400</v>
      </c>
      <c r="AO25" s="33">
        <v>1700</v>
      </c>
      <c r="AP25" s="58">
        <v>3900</v>
      </c>
      <c r="AQ25" s="33">
        <v>3100</v>
      </c>
      <c r="AR25" s="33">
        <v>2900</v>
      </c>
      <c r="AS25" s="58">
        <v>1900</v>
      </c>
      <c r="AT25" s="33">
        <v>5500</v>
      </c>
      <c r="AU25" s="37">
        <f t="shared" si="9"/>
        <v>31400</v>
      </c>
      <c r="AV25" s="60" t="s">
        <v>52</v>
      </c>
      <c r="AW25" s="57"/>
      <c r="AX25" s="58">
        <f>1000+3100</f>
        <v>4100</v>
      </c>
      <c r="AY25" s="33">
        <v>1800</v>
      </c>
      <c r="AZ25" s="33">
        <v>4700</v>
      </c>
      <c r="BA25" s="33">
        <v>3900</v>
      </c>
      <c r="BB25" s="33">
        <v>5400</v>
      </c>
      <c r="BC25" s="33">
        <v>1800</v>
      </c>
      <c r="BD25" s="25">
        <f t="shared" si="13"/>
        <v>21700</v>
      </c>
      <c r="BE25" s="33">
        <v>2100</v>
      </c>
      <c r="BF25" s="58">
        <v>3800</v>
      </c>
      <c r="BG25" s="33">
        <v>4000</v>
      </c>
      <c r="BH25" s="33">
        <v>3400</v>
      </c>
      <c r="BI25" s="33">
        <v>3300</v>
      </c>
      <c r="BJ25" s="33">
        <v>5900</v>
      </c>
      <c r="BK25" s="62">
        <f t="shared" si="1"/>
        <v>44200</v>
      </c>
      <c r="BL25" s="73">
        <v>628</v>
      </c>
      <c r="BM25" s="74"/>
    </row>
    <row r="26" spans="1:69" ht="12.75">
      <c r="A26" s="30">
        <v>11</v>
      </c>
      <c r="B26" s="31" t="s">
        <v>65</v>
      </c>
      <c r="C26" s="59">
        <v>80301000</v>
      </c>
      <c r="D26" s="58"/>
      <c r="E26" s="33">
        <v>3953433</v>
      </c>
      <c r="F26" s="33">
        <v>2219350</v>
      </c>
      <c r="G26" s="33">
        <v>2226333</v>
      </c>
      <c r="H26" s="33">
        <v>2256480</v>
      </c>
      <c r="I26" s="33">
        <v>2312700</v>
      </c>
      <c r="J26" s="32">
        <f t="shared" si="11"/>
        <v>12968296</v>
      </c>
      <c r="K26" s="33">
        <f>2278950+1595903</f>
        <v>3874853</v>
      </c>
      <c r="L26" s="58">
        <v>2337419</v>
      </c>
      <c r="M26" s="33">
        <v>2301455</v>
      </c>
      <c r="N26" s="33">
        <v>2337903</v>
      </c>
      <c r="O26" s="33">
        <v>4167426</v>
      </c>
      <c r="P26" s="33">
        <v>8640434</v>
      </c>
      <c r="Q26" s="13">
        <f t="shared" si="3"/>
        <v>36627786</v>
      </c>
      <c r="R26" s="59">
        <v>108780000</v>
      </c>
      <c r="S26" s="58">
        <v>2374944</v>
      </c>
      <c r="T26" s="33">
        <v>2401010</v>
      </c>
      <c r="U26" s="33">
        <v>2309897</v>
      </c>
      <c r="V26" s="33"/>
      <c r="W26" s="33">
        <f>3878915+3871763</f>
        <v>7750678</v>
      </c>
      <c r="X26" s="33"/>
      <c r="Y26" s="25">
        <f>S26+T26+U26+V26+W26+X26</f>
        <v>14836529</v>
      </c>
      <c r="Z26" s="33">
        <f>5043617+4356046</f>
        <v>9399663</v>
      </c>
      <c r="AA26" s="58">
        <v>4080106</v>
      </c>
      <c r="AB26" s="33">
        <v>3348276.88</v>
      </c>
      <c r="AC26" s="33">
        <v>5606594</v>
      </c>
      <c r="AD26" s="33">
        <v>4246603</v>
      </c>
      <c r="AE26" s="33">
        <v>5819027.45</v>
      </c>
      <c r="AF26" s="36">
        <f t="shared" si="6"/>
        <v>47336799.33</v>
      </c>
      <c r="AG26" s="57">
        <v>102365000</v>
      </c>
      <c r="AH26" s="58">
        <v>4110213</v>
      </c>
      <c r="AI26" s="33">
        <v>4958903</v>
      </c>
      <c r="AJ26" s="33">
        <v>4565356</v>
      </c>
      <c r="AK26" s="33">
        <v>4607912.85</v>
      </c>
      <c r="AL26" s="33">
        <v>6016610</v>
      </c>
      <c r="AM26" s="33"/>
      <c r="AN26" s="25">
        <f>AH26+AI26+AJ26+AK26+AL26+AM26</f>
        <v>24258994.85</v>
      </c>
      <c r="AO26" s="33">
        <v>9690873</v>
      </c>
      <c r="AP26" s="58">
        <v>4630639.49</v>
      </c>
      <c r="AQ26" s="33">
        <v>4667175.36</v>
      </c>
      <c r="AR26" s="33">
        <v>4640270.73</v>
      </c>
      <c r="AS26" s="33">
        <v>5659288.69</v>
      </c>
      <c r="AT26" s="33">
        <v>6345089.49</v>
      </c>
      <c r="AU26" s="37">
        <f t="shared" si="9"/>
        <v>59892331.61000001</v>
      </c>
      <c r="AV26" s="13">
        <f>583818+668736.86+637724.34+655591.34+1428883.72+1058550+726394.84+670677.84+666154.84+663893.34+872825.3+1174907.4</f>
        <v>9808157.82</v>
      </c>
      <c r="AW26" s="57"/>
      <c r="AX26" s="58">
        <v>5530896.19</v>
      </c>
      <c r="AY26" s="33">
        <f>655753.77+4728729</f>
        <v>5384482.77</v>
      </c>
      <c r="AZ26" s="33">
        <f>753017+4570275.1</f>
        <v>5323292.1</v>
      </c>
      <c r="BA26" s="33">
        <v>4720058.25</v>
      </c>
      <c r="BB26" s="75">
        <v>4436802.89</v>
      </c>
      <c r="BC26" s="33">
        <v>4409978.86</v>
      </c>
      <c r="BD26" s="25">
        <f t="shared" si="13"/>
        <v>29805511.060000002</v>
      </c>
      <c r="BE26" s="33">
        <v>7609346.67</v>
      </c>
      <c r="BF26" s="58">
        <v>5404396.98</v>
      </c>
      <c r="BG26" s="33">
        <v>4322364.69</v>
      </c>
      <c r="BH26" s="33">
        <v>6046989.28</v>
      </c>
      <c r="BI26" s="33">
        <v>4432680</v>
      </c>
      <c r="BJ26" s="33">
        <v>8102853.42</v>
      </c>
      <c r="BK26" s="62">
        <f t="shared" si="1"/>
        <v>65724142.10000001</v>
      </c>
      <c r="BL26" s="76">
        <v>421</v>
      </c>
      <c r="BM26" s="77">
        <f>2730585.67</f>
        <v>2730585.67</v>
      </c>
      <c r="BN26" s="78">
        <v>6167757.01</v>
      </c>
      <c r="BO26" s="77">
        <f>BK26+BM26+BN26</f>
        <v>74622484.78000002</v>
      </c>
      <c r="BP26" s="94" t="s">
        <v>66</v>
      </c>
      <c r="BQ26" s="95"/>
    </row>
    <row r="27" spans="1:65" ht="12.75">
      <c r="A27" s="30">
        <v>12</v>
      </c>
      <c r="B27" s="31" t="s">
        <v>67</v>
      </c>
      <c r="C27" s="59">
        <v>7300000</v>
      </c>
      <c r="D27" s="58">
        <v>2745682</v>
      </c>
      <c r="E27" s="33">
        <v>1040845</v>
      </c>
      <c r="F27" s="33">
        <v>1151167</v>
      </c>
      <c r="G27" s="33">
        <v>1160132</v>
      </c>
      <c r="H27" s="33">
        <v>1168531</v>
      </c>
      <c r="I27" s="33">
        <v>1173379</v>
      </c>
      <c r="J27" s="32">
        <f t="shared" si="11"/>
        <v>8439736</v>
      </c>
      <c r="K27" s="33">
        <v>1936161</v>
      </c>
      <c r="L27" s="58">
        <v>1181421</v>
      </c>
      <c r="M27" s="33">
        <v>1203438</v>
      </c>
      <c r="N27" s="33">
        <v>1387700</v>
      </c>
      <c r="O27" s="33">
        <v>1178452</v>
      </c>
      <c r="P27" s="33">
        <v>1899259</v>
      </c>
      <c r="Q27" s="13">
        <f t="shared" si="3"/>
        <v>17226167</v>
      </c>
      <c r="R27" s="59">
        <v>7000000</v>
      </c>
      <c r="S27" s="58">
        <v>3841497</v>
      </c>
      <c r="T27" s="33">
        <v>1177056</v>
      </c>
      <c r="U27" s="33">
        <v>1192596</v>
      </c>
      <c r="V27" s="33">
        <v>1184576</v>
      </c>
      <c r="W27" s="75">
        <v>1754988</v>
      </c>
      <c r="X27" s="33">
        <v>1746030</v>
      </c>
      <c r="Y27" s="25">
        <f>S27+T27+U27+V27+W27+X27</f>
        <v>10896743</v>
      </c>
      <c r="Z27" s="33">
        <v>2294998</v>
      </c>
      <c r="AA27" s="58">
        <v>1946423</v>
      </c>
      <c r="AB27" s="33">
        <f>1825764</f>
        <v>1825764</v>
      </c>
      <c r="AC27" s="33">
        <v>2392991</v>
      </c>
      <c r="AD27" s="33">
        <v>1829636</v>
      </c>
      <c r="AE27" s="33">
        <v>2040365</v>
      </c>
      <c r="AF27" s="36">
        <f t="shared" si="6"/>
        <v>23226920</v>
      </c>
      <c r="AG27" s="57">
        <v>9260000</v>
      </c>
      <c r="AH27" s="58">
        <f>1584893+1210093</f>
        <v>2794986</v>
      </c>
      <c r="AI27" s="33">
        <f>1058019+779464</f>
        <v>1837483</v>
      </c>
      <c r="AJ27" s="33">
        <f>1100164+1052765</f>
        <v>2152929</v>
      </c>
      <c r="AK27" s="33">
        <f>1096264+925864</f>
        <v>2022128</v>
      </c>
      <c r="AL27" s="75">
        <f>1095888+938454</f>
        <v>2034342</v>
      </c>
      <c r="AM27" s="33">
        <f>1282369+1575411</f>
        <v>2857780</v>
      </c>
      <c r="AN27" s="25">
        <f>AH27+AI27+AJ27+AK27+AL27+AM27</f>
        <v>13699648</v>
      </c>
      <c r="AO27" s="33">
        <f>1156138+1136655</f>
        <v>2292793</v>
      </c>
      <c r="AP27" s="58">
        <f>1161229+1081543</f>
        <v>2242772</v>
      </c>
      <c r="AQ27" s="33">
        <f>1149323+960757</f>
        <v>2110080</v>
      </c>
      <c r="AR27" s="33">
        <f>1144075+969157</f>
        <v>2113232</v>
      </c>
      <c r="AS27" s="33">
        <f>1154574+961319</f>
        <v>2115893</v>
      </c>
      <c r="AT27" s="33">
        <f>1216878+1324308</f>
        <v>2541186</v>
      </c>
      <c r="AU27" s="37">
        <f t="shared" si="9"/>
        <v>27115604</v>
      </c>
      <c r="AV27" s="13"/>
      <c r="AW27" s="57"/>
      <c r="AX27" s="58">
        <f>1294951+1609383</f>
        <v>2904334</v>
      </c>
      <c r="AY27" s="38">
        <f>1314491+1486502</f>
        <v>2800993</v>
      </c>
      <c r="AZ27" s="33">
        <f>1188446+968950</f>
        <v>2157396</v>
      </c>
      <c r="BA27" s="33">
        <f>1268444+1147663</f>
        <v>2416107</v>
      </c>
      <c r="BB27" s="33">
        <f>1206297+956437</f>
        <v>2162734</v>
      </c>
      <c r="BC27" s="33">
        <f>1153980+874926</f>
        <v>2028906</v>
      </c>
      <c r="BD27" s="25">
        <f t="shared" si="13"/>
        <v>14470470</v>
      </c>
      <c r="BE27" s="33">
        <f>1172189+870299</f>
        <v>2042488</v>
      </c>
      <c r="BF27" s="58">
        <f>1340505+1943146</f>
        <v>3283651</v>
      </c>
      <c r="BG27" s="33">
        <f>1124617+855534+173475</f>
        <v>2153626</v>
      </c>
      <c r="BH27" s="33">
        <f>1110888+848495</f>
        <v>1959383</v>
      </c>
      <c r="BI27" s="33">
        <f>1202713+1420119</f>
        <v>2622832</v>
      </c>
      <c r="BJ27" s="33">
        <f>1158399+864637</f>
        <v>2023036</v>
      </c>
      <c r="BK27" s="62">
        <f t="shared" si="1"/>
        <v>28555486</v>
      </c>
      <c r="BL27" s="79" t="s">
        <v>68</v>
      </c>
      <c r="BM27" s="63"/>
    </row>
    <row r="28" spans="1:63" ht="12.75">
      <c r="A28" s="30">
        <v>13</v>
      </c>
      <c r="B28" s="31" t="s">
        <v>69</v>
      </c>
      <c r="C28" s="59"/>
      <c r="D28" s="58"/>
      <c r="E28" s="33"/>
      <c r="F28" s="33"/>
      <c r="G28" s="34"/>
      <c r="H28" s="33"/>
      <c r="I28" s="33"/>
      <c r="J28" s="32">
        <f t="shared" si="11"/>
        <v>0</v>
      </c>
      <c r="K28" s="20"/>
      <c r="L28" s="58"/>
      <c r="M28" s="33"/>
      <c r="N28" s="33"/>
      <c r="O28" s="33"/>
      <c r="P28" s="33"/>
      <c r="Q28" s="13">
        <f t="shared" si="3"/>
        <v>0</v>
      </c>
      <c r="R28" s="59"/>
      <c r="S28" s="58"/>
      <c r="T28" s="33"/>
      <c r="U28" s="33"/>
      <c r="V28" s="34"/>
      <c r="W28" s="33"/>
      <c r="X28" s="33"/>
      <c r="Y28" s="25">
        <f t="shared" si="12"/>
        <v>0</v>
      </c>
      <c r="Z28" s="20"/>
      <c r="AA28" s="58"/>
      <c r="AB28" s="33"/>
      <c r="AC28" s="33"/>
      <c r="AD28" s="33"/>
      <c r="AE28" s="33"/>
      <c r="AF28" s="50">
        <f t="shared" si="6"/>
        <v>0</v>
      </c>
      <c r="AG28" s="57"/>
      <c r="AH28" s="58"/>
      <c r="AJ28" s="33"/>
      <c r="AK28" s="34"/>
      <c r="AL28" s="33"/>
      <c r="AM28" s="33"/>
      <c r="AN28" s="25"/>
      <c r="AO28" s="20"/>
      <c r="AP28" s="58"/>
      <c r="AQ28" s="33"/>
      <c r="AR28" s="33"/>
      <c r="AS28" s="33"/>
      <c r="AT28" s="33"/>
      <c r="AU28" s="13">
        <f t="shared" si="9"/>
        <v>0</v>
      </c>
      <c r="AV28" s="13"/>
      <c r="AW28" s="57"/>
      <c r="AX28" s="58"/>
      <c r="AY28" s="33"/>
      <c r="AZ28" s="33"/>
      <c r="BA28" s="34"/>
      <c r="BB28" s="33"/>
      <c r="BC28" s="33"/>
      <c r="BD28" s="25">
        <f t="shared" si="13"/>
        <v>0</v>
      </c>
      <c r="BE28" s="20"/>
      <c r="BF28" s="58"/>
      <c r="BG28" s="33"/>
      <c r="BH28" s="33"/>
      <c r="BI28" s="33"/>
      <c r="BJ28" s="33"/>
      <c r="BK28" s="37">
        <f t="shared" si="1"/>
        <v>0</v>
      </c>
    </row>
    <row r="29" spans="1:63" ht="12.75">
      <c r="A29" s="30">
        <v>14</v>
      </c>
      <c r="B29" s="31" t="s">
        <v>70</v>
      </c>
      <c r="C29" s="59"/>
      <c r="D29" s="58"/>
      <c r="E29" s="33"/>
      <c r="F29" s="33"/>
      <c r="G29" s="34"/>
      <c r="H29" s="33"/>
      <c r="I29" s="33"/>
      <c r="J29" s="32">
        <f t="shared" si="11"/>
        <v>0</v>
      </c>
      <c r="K29" s="20"/>
      <c r="L29" s="58"/>
      <c r="M29" s="33"/>
      <c r="N29" s="33"/>
      <c r="O29" s="33"/>
      <c r="P29" s="33"/>
      <c r="Q29" s="13">
        <f t="shared" si="3"/>
        <v>0</v>
      </c>
      <c r="R29" s="59"/>
      <c r="S29" s="58"/>
      <c r="T29" s="33"/>
      <c r="U29" s="33"/>
      <c r="V29" s="34"/>
      <c r="W29" s="33"/>
      <c r="X29" s="33"/>
      <c r="Y29" s="25">
        <f t="shared" si="12"/>
        <v>0</v>
      </c>
      <c r="Z29" s="20"/>
      <c r="AA29" s="58"/>
      <c r="AB29" s="33"/>
      <c r="AC29" s="33"/>
      <c r="AD29" s="33"/>
      <c r="AE29" s="33"/>
      <c r="AF29" s="50">
        <f t="shared" si="6"/>
        <v>0</v>
      </c>
      <c r="AG29" s="57"/>
      <c r="AH29" s="58"/>
      <c r="AI29" s="33"/>
      <c r="AJ29" s="33"/>
      <c r="AK29" s="34"/>
      <c r="AL29" s="33"/>
      <c r="AM29" s="33"/>
      <c r="AN29" s="25">
        <f t="shared" si="10"/>
        <v>0</v>
      </c>
      <c r="AO29" s="20"/>
      <c r="AP29" s="58"/>
      <c r="AQ29" s="33"/>
      <c r="AR29" s="33"/>
      <c r="AS29" s="33"/>
      <c r="AT29" s="33"/>
      <c r="AU29" s="13">
        <f t="shared" si="9"/>
        <v>0</v>
      </c>
      <c r="AV29" s="13"/>
      <c r="AW29" s="57"/>
      <c r="AX29" s="58"/>
      <c r="AY29" s="33"/>
      <c r="AZ29" s="33"/>
      <c r="BA29" s="34"/>
      <c r="BB29" s="33"/>
      <c r="BC29" s="33"/>
      <c r="BD29" s="25">
        <f t="shared" si="13"/>
        <v>0</v>
      </c>
      <c r="BE29" s="20"/>
      <c r="BF29" s="58"/>
      <c r="BG29" s="33"/>
      <c r="BH29" s="33"/>
      <c r="BI29" s="33"/>
      <c r="BJ29" s="33"/>
      <c r="BK29" s="37">
        <f t="shared" si="1"/>
        <v>0</v>
      </c>
    </row>
    <row r="30" spans="1:63" ht="12.75">
      <c r="A30" s="30">
        <v>15</v>
      </c>
      <c r="B30" s="31" t="s">
        <v>71</v>
      </c>
      <c r="C30" s="59"/>
      <c r="D30" s="58"/>
      <c r="E30" s="33"/>
      <c r="F30" s="33"/>
      <c r="G30" s="34"/>
      <c r="H30" s="33"/>
      <c r="I30" s="33"/>
      <c r="J30" s="32">
        <f t="shared" si="11"/>
        <v>0</v>
      </c>
      <c r="K30" s="20"/>
      <c r="L30" s="58"/>
      <c r="M30" s="33"/>
      <c r="N30" s="33"/>
      <c r="O30" s="33"/>
      <c r="P30" s="33"/>
      <c r="Q30" s="13">
        <f t="shared" si="3"/>
        <v>0</v>
      </c>
      <c r="R30" s="59"/>
      <c r="S30" s="58"/>
      <c r="T30" s="33"/>
      <c r="U30" s="33"/>
      <c r="V30" s="34"/>
      <c r="W30" s="33"/>
      <c r="X30" s="33"/>
      <c r="Y30" s="25">
        <f t="shared" si="12"/>
        <v>0</v>
      </c>
      <c r="Z30" s="20"/>
      <c r="AA30" s="58"/>
      <c r="AB30" s="33"/>
      <c r="AC30" s="33"/>
      <c r="AD30" s="33"/>
      <c r="AE30" s="33"/>
      <c r="AF30" s="50">
        <f t="shared" si="6"/>
        <v>0</v>
      </c>
      <c r="AG30" s="57"/>
      <c r="AH30" s="58"/>
      <c r="AI30" s="33"/>
      <c r="AJ30" s="33"/>
      <c r="AK30" s="34"/>
      <c r="AL30" s="33"/>
      <c r="AM30" s="33"/>
      <c r="AN30" s="25">
        <f t="shared" si="10"/>
        <v>0</v>
      </c>
      <c r="AO30" s="20"/>
      <c r="AP30" s="58"/>
      <c r="AQ30" s="33"/>
      <c r="AR30" s="33"/>
      <c r="AS30" s="33"/>
      <c r="AT30" s="33"/>
      <c r="AU30" s="13">
        <f t="shared" si="9"/>
        <v>0</v>
      </c>
      <c r="AV30" s="13"/>
      <c r="AW30" s="57"/>
      <c r="AX30" s="58"/>
      <c r="AY30" s="33"/>
      <c r="AZ30" s="33"/>
      <c r="BA30" s="34"/>
      <c r="BB30" s="33"/>
      <c r="BC30" s="33"/>
      <c r="BD30" s="25">
        <f t="shared" si="13"/>
        <v>0</v>
      </c>
      <c r="BE30" s="33"/>
      <c r="BF30" s="58"/>
      <c r="BG30" s="33"/>
      <c r="BH30" s="33"/>
      <c r="BJ30" s="33">
        <v>130000</v>
      </c>
      <c r="BK30" s="62">
        <f t="shared" si="1"/>
        <v>130000</v>
      </c>
    </row>
    <row r="31" spans="1:64" ht="12.75">
      <c r="A31" s="30">
        <v>16</v>
      </c>
      <c r="B31" s="31" t="s">
        <v>72</v>
      </c>
      <c r="C31" s="59"/>
      <c r="D31" s="58"/>
      <c r="E31" s="33"/>
      <c r="F31" s="33"/>
      <c r="G31" s="34">
        <v>3000000</v>
      </c>
      <c r="H31" s="33"/>
      <c r="I31" s="33"/>
      <c r="J31" s="32">
        <f t="shared" si="11"/>
        <v>3000000</v>
      </c>
      <c r="K31" s="33"/>
      <c r="L31" s="58"/>
      <c r="M31" s="33">
        <v>3000000</v>
      </c>
      <c r="N31" s="33"/>
      <c r="P31" s="33">
        <v>3000000</v>
      </c>
      <c r="Q31" s="13">
        <f t="shared" si="3"/>
        <v>9000000</v>
      </c>
      <c r="R31" s="59"/>
      <c r="S31" s="58"/>
      <c r="T31" s="33"/>
      <c r="U31" s="33">
        <v>3000000</v>
      </c>
      <c r="V31" s="34"/>
      <c r="W31" s="33"/>
      <c r="X31" s="33"/>
      <c r="Y31" s="25">
        <f t="shared" si="12"/>
        <v>3000000</v>
      </c>
      <c r="Z31" s="33">
        <v>3000000</v>
      </c>
      <c r="AA31" s="58"/>
      <c r="AB31" s="33"/>
      <c r="AC31" s="33">
        <v>3000000</v>
      </c>
      <c r="AE31" s="33"/>
      <c r="AF31" s="50">
        <f t="shared" si="6"/>
        <v>9000000</v>
      </c>
      <c r="AG31" s="57"/>
      <c r="AH31" s="58">
        <v>3000000</v>
      </c>
      <c r="AI31" s="33"/>
      <c r="AJ31" s="33"/>
      <c r="AK31" s="34">
        <v>3000000</v>
      </c>
      <c r="AL31" s="33"/>
      <c r="AM31" s="33"/>
      <c r="AN31" s="25">
        <f t="shared" si="10"/>
        <v>6000000</v>
      </c>
      <c r="AO31" s="33"/>
      <c r="AP31" s="58">
        <v>3000000</v>
      </c>
      <c r="AQ31" s="33"/>
      <c r="AR31" s="33"/>
      <c r="AT31" s="33">
        <v>2000000</v>
      </c>
      <c r="AU31" s="13">
        <f t="shared" si="9"/>
        <v>11000000</v>
      </c>
      <c r="AV31" s="60" t="s">
        <v>52</v>
      </c>
      <c r="AW31" s="57"/>
      <c r="AX31" s="58">
        <v>3000000</v>
      </c>
      <c r="AY31" s="33"/>
      <c r="AZ31" s="33"/>
      <c r="BA31" s="33">
        <v>1000000</v>
      </c>
      <c r="BB31" s="33"/>
      <c r="BC31" s="33"/>
      <c r="BD31" s="25">
        <f t="shared" si="13"/>
        <v>4000000</v>
      </c>
      <c r="BE31" s="20"/>
      <c r="BF31" s="58">
        <f>2000000+1000000</f>
        <v>3000000</v>
      </c>
      <c r="BG31" s="33"/>
      <c r="BH31" s="33"/>
      <c r="BI31" s="33"/>
      <c r="BJ31" s="33"/>
      <c r="BK31" s="37">
        <f t="shared" si="1"/>
        <v>7000000</v>
      </c>
      <c r="BL31" s="80" t="s">
        <v>73</v>
      </c>
    </row>
    <row r="32" spans="1:63" ht="12.75">
      <c r="A32" s="30">
        <v>17</v>
      </c>
      <c r="B32" s="31" t="s">
        <v>74</v>
      </c>
      <c r="C32" s="59">
        <v>5000000</v>
      </c>
      <c r="D32" s="58"/>
      <c r="E32" s="33"/>
      <c r="F32" s="33"/>
      <c r="G32" s="34"/>
      <c r="H32" s="33"/>
      <c r="I32" s="33"/>
      <c r="J32" s="32">
        <f t="shared" si="11"/>
        <v>0</v>
      </c>
      <c r="K32" s="20"/>
      <c r="L32" s="58"/>
      <c r="M32" s="33"/>
      <c r="N32" s="33"/>
      <c r="O32" s="33"/>
      <c r="P32" s="33"/>
      <c r="Q32" s="13">
        <f t="shared" si="3"/>
        <v>0</v>
      </c>
      <c r="R32" s="59">
        <v>5000000</v>
      </c>
      <c r="S32" s="58"/>
      <c r="T32" s="33"/>
      <c r="U32" s="33"/>
      <c r="V32" s="34"/>
      <c r="W32" s="33"/>
      <c r="X32" s="33"/>
      <c r="Y32" s="25">
        <f t="shared" si="12"/>
        <v>0</v>
      </c>
      <c r="Z32" s="20"/>
      <c r="AA32" s="58"/>
      <c r="AB32" s="33"/>
      <c r="AC32" s="33"/>
      <c r="AD32" s="33"/>
      <c r="AE32" s="33"/>
      <c r="AF32" s="50">
        <f t="shared" si="6"/>
        <v>0</v>
      </c>
      <c r="AG32" s="57">
        <v>5000000</v>
      </c>
      <c r="AH32" s="58"/>
      <c r="AI32" s="33"/>
      <c r="AJ32" s="33"/>
      <c r="AK32" s="34"/>
      <c r="AL32" s="33"/>
      <c r="AM32" s="33"/>
      <c r="AN32" s="25">
        <f t="shared" si="10"/>
        <v>0</v>
      </c>
      <c r="AO32" s="20"/>
      <c r="AP32" s="58"/>
      <c r="AQ32" s="33"/>
      <c r="AR32" s="33"/>
      <c r="AS32" s="33"/>
      <c r="AT32" s="33"/>
      <c r="AU32" s="13">
        <f t="shared" si="9"/>
        <v>0</v>
      </c>
      <c r="AV32" s="13"/>
      <c r="AW32" s="57"/>
      <c r="AX32" s="58"/>
      <c r="AY32" s="33"/>
      <c r="AZ32" s="33"/>
      <c r="BA32" s="34"/>
      <c r="BB32" s="33"/>
      <c r="BC32" s="33"/>
      <c r="BD32" s="25">
        <f t="shared" si="13"/>
        <v>0</v>
      </c>
      <c r="BE32" s="20"/>
      <c r="BF32" s="58"/>
      <c r="BG32" s="33"/>
      <c r="BH32" s="33"/>
      <c r="BI32" s="33"/>
      <c r="BJ32" s="33"/>
      <c r="BK32" s="37">
        <f t="shared" si="1"/>
        <v>0</v>
      </c>
    </row>
    <row r="33" spans="1:63" ht="12.75">
      <c r="A33" s="30">
        <v>18</v>
      </c>
      <c r="B33" s="31" t="s">
        <v>75</v>
      </c>
      <c r="C33" s="59"/>
      <c r="D33" s="58"/>
      <c r="E33" s="33"/>
      <c r="F33" s="33"/>
      <c r="G33" s="34"/>
      <c r="H33" s="33"/>
      <c r="I33" s="33"/>
      <c r="J33" s="32">
        <f t="shared" si="11"/>
        <v>0</v>
      </c>
      <c r="K33" s="20"/>
      <c r="L33" s="58"/>
      <c r="M33" s="33"/>
      <c r="N33" s="33"/>
      <c r="O33" s="33"/>
      <c r="P33" s="33"/>
      <c r="Q33" s="13">
        <f t="shared" si="3"/>
        <v>0</v>
      </c>
      <c r="R33" s="59"/>
      <c r="S33" s="58"/>
      <c r="T33" s="33"/>
      <c r="U33" s="33"/>
      <c r="V33" s="34"/>
      <c r="W33" s="33"/>
      <c r="X33" s="33"/>
      <c r="Y33" s="25">
        <f t="shared" si="12"/>
        <v>0</v>
      </c>
      <c r="Z33" s="20"/>
      <c r="AA33" s="58"/>
      <c r="AB33" s="33"/>
      <c r="AC33" s="33"/>
      <c r="AD33" s="33"/>
      <c r="AE33" s="33"/>
      <c r="AF33" s="50">
        <f t="shared" si="6"/>
        <v>0</v>
      </c>
      <c r="AG33" s="57"/>
      <c r="AH33" s="58"/>
      <c r="AI33" s="33"/>
      <c r="AJ33" s="33"/>
      <c r="AK33" s="34"/>
      <c r="AL33" s="33"/>
      <c r="AM33" s="33"/>
      <c r="AN33" s="25">
        <f t="shared" si="10"/>
        <v>0</v>
      </c>
      <c r="AO33" s="20"/>
      <c r="AP33" s="58"/>
      <c r="AQ33" s="33"/>
      <c r="AR33" s="33"/>
      <c r="AS33" s="33"/>
      <c r="AT33" s="33"/>
      <c r="AU33" s="13">
        <f t="shared" si="9"/>
        <v>0</v>
      </c>
      <c r="AV33" s="13"/>
      <c r="AW33" s="57"/>
      <c r="AX33" s="58"/>
      <c r="AY33" s="33"/>
      <c r="AZ33" s="33"/>
      <c r="BA33" s="34"/>
      <c r="BB33" s="33"/>
      <c r="BC33" s="33"/>
      <c r="BD33" s="25">
        <f t="shared" si="13"/>
        <v>0</v>
      </c>
      <c r="BE33" s="33"/>
      <c r="BF33" s="58"/>
      <c r="BG33" s="33"/>
      <c r="BH33" s="33"/>
      <c r="BI33" s="33"/>
      <c r="BJ33" s="33"/>
      <c r="BK33" s="37">
        <f t="shared" si="1"/>
        <v>0</v>
      </c>
    </row>
    <row r="34" spans="1:63" ht="12.75">
      <c r="A34" s="30">
        <v>19</v>
      </c>
      <c r="B34" s="31" t="s">
        <v>76</v>
      </c>
      <c r="C34" s="59"/>
      <c r="D34" s="58"/>
      <c r="E34" s="33"/>
      <c r="F34" s="33"/>
      <c r="G34" s="34"/>
      <c r="H34" s="33"/>
      <c r="I34" s="33"/>
      <c r="J34" s="32">
        <f t="shared" si="11"/>
        <v>0</v>
      </c>
      <c r="K34" s="20"/>
      <c r="L34" s="58"/>
      <c r="M34" s="33"/>
      <c r="N34" s="33"/>
      <c r="O34" s="33"/>
      <c r="P34" s="33"/>
      <c r="Q34" s="13">
        <f t="shared" si="3"/>
        <v>0</v>
      </c>
      <c r="R34" s="59"/>
      <c r="S34" s="58"/>
      <c r="T34" s="33"/>
      <c r="U34" s="33"/>
      <c r="V34" s="34"/>
      <c r="W34" s="33"/>
      <c r="X34" s="33"/>
      <c r="Y34" s="25">
        <f t="shared" si="12"/>
        <v>0</v>
      </c>
      <c r="Z34" s="20"/>
      <c r="AA34" s="58"/>
      <c r="AB34" s="33"/>
      <c r="AC34" s="33"/>
      <c r="AD34" s="33"/>
      <c r="AE34" s="33"/>
      <c r="AF34" s="50">
        <f t="shared" si="6"/>
        <v>0</v>
      </c>
      <c r="AG34" s="57"/>
      <c r="AH34" s="58"/>
      <c r="AI34" s="33"/>
      <c r="AJ34" s="33"/>
      <c r="AK34" s="34"/>
      <c r="AL34" s="33"/>
      <c r="AM34" s="33"/>
      <c r="AN34" s="25">
        <f t="shared" si="10"/>
        <v>0</v>
      </c>
      <c r="AO34" s="33">
        <v>193758</v>
      </c>
      <c r="AP34" s="58"/>
      <c r="AQ34" s="33"/>
      <c r="AR34" s="33"/>
      <c r="AS34" s="33"/>
      <c r="AT34" s="33"/>
      <c r="AU34" s="13">
        <f t="shared" si="9"/>
        <v>193758</v>
      </c>
      <c r="AV34" s="60" t="s">
        <v>52</v>
      </c>
      <c r="AW34" s="58"/>
      <c r="AX34" s="58"/>
      <c r="AY34" s="33"/>
      <c r="AZ34" s="33"/>
      <c r="BA34" s="34"/>
      <c r="BB34" s="33"/>
      <c r="BC34" s="33"/>
      <c r="BD34" s="25"/>
      <c r="BE34" s="20"/>
      <c r="BF34" s="58"/>
      <c r="BG34" s="33"/>
      <c r="BH34" s="33"/>
      <c r="BI34" s="33"/>
      <c r="BJ34" s="33"/>
      <c r="BK34" s="37">
        <f t="shared" si="1"/>
        <v>0</v>
      </c>
    </row>
    <row r="35" spans="1:63" ht="12.75">
      <c r="A35" s="30">
        <v>20</v>
      </c>
      <c r="B35" s="31" t="s">
        <v>77</v>
      </c>
      <c r="C35" s="59">
        <v>4700000</v>
      </c>
      <c r="D35" s="58"/>
      <c r="E35" s="33"/>
      <c r="F35" s="33"/>
      <c r="G35" s="34"/>
      <c r="H35" s="33"/>
      <c r="I35" s="33"/>
      <c r="J35" s="32">
        <f t="shared" si="11"/>
        <v>0</v>
      </c>
      <c r="K35" s="20"/>
      <c r="L35" s="58"/>
      <c r="M35" s="33"/>
      <c r="N35" s="33"/>
      <c r="O35" s="33"/>
      <c r="P35" s="33"/>
      <c r="Q35" s="13">
        <f t="shared" si="3"/>
        <v>0</v>
      </c>
      <c r="R35" s="59">
        <v>4000000</v>
      </c>
      <c r="S35" s="58"/>
      <c r="T35" s="33"/>
      <c r="U35" s="33"/>
      <c r="V35" s="34"/>
      <c r="W35" s="33"/>
      <c r="X35" s="33"/>
      <c r="Y35" s="25">
        <f t="shared" si="12"/>
        <v>0</v>
      </c>
      <c r="Z35" s="20"/>
      <c r="AA35" s="58"/>
      <c r="AB35" s="33"/>
      <c r="AC35" s="33"/>
      <c r="AD35" s="33"/>
      <c r="AE35" s="33"/>
      <c r="AF35" s="50">
        <f t="shared" si="6"/>
        <v>0</v>
      </c>
      <c r="AG35" s="58">
        <v>5000000</v>
      </c>
      <c r="AH35" s="58"/>
      <c r="AI35" s="33"/>
      <c r="AJ35" s="33"/>
      <c r="AK35" s="34"/>
      <c r="AL35" s="33"/>
      <c r="AM35" s="33"/>
      <c r="AN35" s="25"/>
      <c r="AO35" s="20"/>
      <c r="AP35" s="58"/>
      <c r="AQ35" s="33"/>
      <c r="AR35" s="33"/>
      <c r="AS35" s="33"/>
      <c r="AT35" s="33"/>
      <c r="AU35" s="13">
        <f t="shared" si="9"/>
        <v>0</v>
      </c>
      <c r="AV35" s="13"/>
      <c r="AW35" s="57"/>
      <c r="AX35" s="81"/>
      <c r="AY35" s="58"/>
      <c r="AZ35" s="33"/>
      <c r="BA35" s="33"/>
      <c r="BB35" s="33"/>
      <c r="BC35" s="33"/>
      <c r="BD35" s="25">
        <f aca="true" t="shared" si="14" ref="BD35:BD40">AX35+AY35+AZ35+BA35+BB35+BC35</f>
        <v>0</v>
      </c>
      <c r="BE35" s="33"/>
      <c r="BF35" s="58"/>
      <c r="BG35" s="33"/>
      <c r="BH35" s="33"/>
      <c r="BI35" s="33"/>
      <c r="BJ35" s="33"/>
      <c r="BK35" s="37">
        <f t="shared" si="1"/>
        <v>0</v>
      </c>
    </row>
    <row r="36" spans="1:65" ht="12.75">
      <c r="A36" s="30"/>
      <c r="B36" s="31" t="s">
        <v>78</v>
      </c>
      <c r="C36" s="57"/>
      <c r="D36" s="58"/>
      <c r="E36" s="33">
        <f>3000+10000</f>
        <v>13000</v>
      </c>
      <c r="F36" s="33">
        <v>10000</v>
      </c>
      <c r="G36" s="33"/>
      <c r="H36" s="33">
        <v>80000</v>
      </c>
      <c r="I36" s="33">
        <v>35000</v>
      </c>
      <c r="J36" s="32">
        <f t="shared" si="11"/>
        <v>138000</v>
      </c>
      <c r="K36" s="33"/>
      <c r="L36" s="58">
        <v>73400</v>
      </c>
      <c r="M36" s="33">
        <v>51500</v>
      </c>
      <c r="N36" s="33"/>
      <c r="O36" s="33">
        <v>40000</v>
      </c>
      <c r="P36" s="33">
        <v>46000</v>
      </c>
      <c r="Q36" s="13">
        <f>J36+K36+L36+M36+N36+O36+P36</f>
        <v>348900</v>
      </c>
      <c r="R36" s="57"/>
      <c r="S36" s="58"/>
      <c r="T36" s="33"/>
      <c r="U36" s="33">
        <v>32000</v>
      </c>
      <c r="V36" s="33">
        <v>73000</v>
      </c>
      <c r="W36" s="33">
        <v>70100</v>
      </c>
      <c r="X36" s="33"/>
      <c r="Y36" s="25">
        <f t="shared" si="12"/>
        <v>175100</v>
      </c>
      <c r="Z36" s="33">
        <v>36500</v>
      </c>
      <c r="AA36" s="58">
        <v>70000</v>
      </c>
      <c r="AB36" s="33">
        <v>45500</v>
      </c>
      <c r="AC36" s="33"/>
      <c r="AD36" s="33"/>
      <c r="AE36" s="33">
        <v>97000</v>
      </c>
      <c r="AF36" s="50">
        <f>Y36+Z36+AA36+AB36+AC36+AD36+AE36</f>
        <v>424100</v>
      </c>
      <c r="AG36" s="57"/>
      <c r="AI36" s="58">
        <v>62500</v>
      </c>
      <c r="AJ36" s="33">
        <v>46200</v>
      </c>
      <c r="AK36" s="33"/>
      <c r="AL36" s="33">
        <v>47300</v>
      </c>
      <c r="AM36" s="33">
        <v>41500</v>
      </c>
      <c r="AN36" s="25">
        <f t="shared" si="10"/>
        <v>197500</v>
      </c>
      <c r="AO36" s="33"/>
      <c r="AP36" s="58">
        <v>72610</v>
      </c>
      <c r="AQ36" s="33"/>
      <c r="AR36" s="33">
        <v>90000</v>
      </c>
      <c r="AS36" s="33">
        <v>108000</v>
      </c>
      <c r="AT36" s="33">
        <v>16622</v>
      </c>
      <c r="AU36" s="13">
        <f>AN36+AO36+AP36+AQ36+AR36+AS36+AT36</f>
        <v>484732</v>
      </c>
      <c r="AV36" s="60" t="s">
        <v>52</v>
      </c>
      <c r="AW36" s="82"/>
      <c r="AX36" s="34">
        <v>8400</v>
      </c>
      <c r="AY36" s="34"/>
      <c r="AZ36" s="34"/>
      <c r="BA36" s="34"/>
      <c r="BB36" s="34">
        <v>7200</v>
      </c>
      <c r="BC36" s="33">
        <v>72200</v>
      </c>
      <c r="BD36" s="25">
        <f t="shared" si="14"/>
        <v>87800</v>
      </c>
      <c r="BE36" s="33"/>
      <c r="BF36" s="33">
        <v>97550</v>
      </c>
      <c r="BG36" s="20"/>
      <c r="BH36" s="83">
        <v>128500</v>
      </c>
      <c r="BI36" s="20"/>
      <c r="BJ36" s="20">
        <v>37660</v>
      </c>
      <c r="BK36" s="37">
        <f t="shared" si="1"/>
        <v>351510</v>
      </c>
      <c r="BL36" s="51" t="s">
        <v>79</v>
      </c>
      <c r="BM36" s="51"/>
    </row>
    <row r="37" spans="1:64" ht="13.5">
      <c r="A37" s="22" t="s">
        <v>80</v>
      </c>
      <c r="B37" s="23" t="s">
        <v>81</v>
      </c>
      <c r="C37" s="84">
        <f>C15+C16+C17+C18+C19+C20+C21+C22+C24+C25+C26+C27+C32+C35</f>
        <v>160788200</v>
      </c>
      <c r="D37" s="20">
        <f aca="true" t="shared" si="15" ref="D37:I37">SUM(D15:D36)</f>
        <v>6314162</v>
      </c>
      <c r="E37" s="20">
        <f t="shared" si="15"/>
        <v>8159608</v>
      </c>
      <c r="F37" s="20">
        <f t="shared" si="15"/>
        <v>3687845</v>
      </c>
      <c r="G37" s="20">
        <f t="shared" si="15"/>
        <v>10682224</v>
      </c>
      <c r="H37" s="20">
        <f t="shared" si="15"/>
        <v>6765527</v>
      </c>
      <c r="I37" s="20">
        <f t="shared" si="15"/>
        <v>4140456</v>
      </c>
      <c r="J37" s="20">
        <f t="shared" si="11"/>
        <v>39749822</v>
      </c>
      <c r="K37" s="20">
        <f aca="true" t="shared" si="16" ref="K37:P37">SUM(K15:K36)</f>
        <v>8145383</v>
      </c>
      <c r="L37" s="20">
        <f t="shared" si="16"/>
        <v>6929773</v>
      </c>
      <c r="M37" s="20">
        <f t="shared" si="16"/>
        <v>10093820</v>
      </c>
      <c r="N37" s="85">
        <f t="shared" si="16"/>
        <v>4408864.8</v>
      </c>
      <c r="O37" s="20">
        <f>SUM(O15:O36)</f>
        <v>6383232</v>
      </c>
      <c r="P37" s="20">
        <f t="shared" si="16"/>
        <v>19115016</v>
      </c>
      <c r="Q37" s="13">
        <f t="shared" si="3"/>
        <v>94825910.8</v>
      </c>
      <c r="R37" s="84">
        <f>R15+R16+R17+R18+R19+R20+R21+R22+R24+R25+R26+R27+R32+R35</f>
        <v>170323200</v>
      </c>
      <c r="S37" s="21">
        <f aca="true" t="shared" si="17" ref="S37:X37">SUM(S15:S36)</f>
        <v>6846377.2</v>
      </c>
      <c r="T37" s="20">
        <f t="shared" si="17"/>
        <v>9033737.6</v>
      </c>
      <c r="U37" s="20">
        <f t="shared" si="17"/>
        <v>11407188</v>
      </c>
      <c r="V37" s="20">
        <f t="shared" si="17"/>
        <v>1887955.97</v>
      </c>
      <c r="W37" s="20">
        <f t="shared" si="17"/>
        <v>13251115</v>
      </c>
      <c r="X37" s="20">
        <f t="shared" si="17"/>
        <v>3547948</v>
      </c>
      <c r="Y37" s="20">
        <f t="shared" si="12"/>
        <v>45974321.769999996</v>
      </c>
      <c r="Z37" s="20">
        <f aca="true" t="shared" si="18" ref="Z37:AE37">SUM(Z15:Z36)</f>
        <v>18641216.55</v>
      </c>
      <c r="AA37" s="20">
        <f t="shared" si="18"/>
        <v>6558107.5</v>
      </c>
      <c r="AB37" s="20">
        <f t="shared" si="18"/>
        <v>5483890.68</v>
      </c>
      <c r="AC37" s="83">
        <f t="shared" si="18"/>
        <v>16882589</v>
      </c>
      <c r="AD37" s="20">
        <f t="shared" si="18"/>
        <v>7229771</v>
      </c>
      <c r="AE37" s="20">
        <f t="shared" si="18"/>
        <v>9958729.89</v>
      </c>
      <c r="AF37" s="50">
        <f t="shared" si="6"/>
        <v>110728626.39</v>
      </c>
      <c r="AG37" s="82">
        <f>SUM(AG15:AG36)</f>
        <v>163213200</v>
      </c>
      <c r="AH37" s="34">
        <f>SUM(AH15:AH41)</f>
        <v>11008572</v>
      </c>
      <c r="AI37" s="34">
        <f>SUM(AI15:AI41)</f>
        <v>10941196.6</v>
      </c>
      <c r="AJ37" s="34">
        <f>SUM(AJ15:AJ41)</f>
        <v>12450119</v>
      </c>
      <c r="AK37" s="34">
        <f>SUM(AK15:AK41)</f>
        <v>14312144.85</v>
      </c>
      <c r="AL37" s="34">
        <f>SUM(AL15:AL41)</f>
        <v>10264014.92</v>
      </c>
      <c r="AM37" s="20">
        <f aca="true" t="shared" si="19" ref="AM37:AR37">SUM(AM15:AM36)</f>
        <v>4162153.44</v>
      </c>
      <c r="AN37" s="20">
        <f t="shared" si="19"/>
        <v>63138196.24</v>
      </c>
      <c r="AO37" s="20">
        <f t="shared" si="19"/>
        <v>12807919</v>
      </c>
      <c r="AP37" s="20">
        <f t="shared" si="19"/>
        <v>11624764.620000001</v>
      </c>
      <c r="AQ37" s="20">
        <f t="shared" si="19"/>
        <v>9449911.81</v>
      </c>
      <c r="AR37" s="83">
        <f t="shared" si="19"/>
        <v>8062482.03</v>
      </c>
      <c r="AS37" s="20">
        <f>SUM(AS15:AS36)</f>
        <v>8490566.29</v>
      </c>
      <c r="AT37" s="20">
        <f>SUM(AT15:AT36)</f>
        <v>13773119.84</v>
      </c>
      <c r="AU37" s="13">
        <f t="shared" si="9"/>
        <v>127346959.83000001</v>
      </c>
      <c r="AV37" s="13"/>
      <c r="AW37" s="13"/>
      <c r="AX37" s="20">
        <f aca="true" t="shared" si="20" ref="AX37:BC37">SUM(AX15:AX36)-AX23</f>
        <v>11765584.46</v>
      </c>
      <c r="AY37" s="20">
        <f t="shared" si="20"/>
        <v>10500812.37</v>
      </c>
      <c r="AZ37" s="20">
        <f t="shared" si="20"/>
        <v>8277524.559999999</v>
      </c>
      <c r="BA37" s="20">
        <f t="shared" si="20"/>
        <v>11393577.36</v>
      </c>
      <c r="BB37" s="20">
        <f t="shared" si="20"/>
        <v>11049369.02</v>
      </c>
      <c r="BC37" s="13">
        <f t="shared" si="20"/>
        <v>9119611.65</v>
      </c>
      <c r="BD37" s="20">
        <f>AX37+AY37+AZ37+BA37+BB37+BC37</f>
        <v>62106479.419999994</v>
      </c>
      <c r="BE37" s="20">
        <f>SUM(BE15:BE36)-BE23</f>
        <v>10795152.72</v>
      </c>
      <c r="BF37" s="20">
        <f>SUM(BF15:BF36)</f>
        <v>12451417.45</v>
      </c>
      <c r="BG37" s="20">
        <f>SUM(BG15:BG36)-BG23</f>
        <v>11062994.690000001</v>
      </c>
      <c r="BH37" s="20">
        <f>SUM(BH15:BH36)-BH23</f>
        <v>9529002.280000001</v>
      </c>
      <c r="BI37" s="20">
        <f>SUM(BI15:BI36)-BI23</f>
        <v>10345061</v>
      </c>
      <c r="BJ37" s="20">
        <f>SUM(BJ15:BJ36)-BJ23</f>
        <v>12886846.46</v>
      </c>
      <c r="BK37" s="37">
        <f t="shared" si="1"/>
        <v>129176954.02000001</v>
      </c>
      <c r="BL37" s="86" t="s">
        <v>82</v>
      </c>
    </row>
    <row r="38" spans="1:64" ht="13.5">
      <c r="A38" s="30">
        <v>1</v>
      </c>
      <c r="B38" s="23" t="s">
        <v>83</v>
      </c>
      <c r="C38" s="13">
        <f>C39+C40+C41</f>
        <v>14300000</v>
      </c>
      <c r="D38" s="87"/>
      <c r="E38" s="20"/>
      <c r="F38" s="87"/>
      <c r="G38" s="20"/>
      <c r="H38" s="34"/>
      <c r="I38" s="34"/>
      <c r="J38" s="34"/>
      <c r="K38" s="20"/>
      <c r="L38" s="33"/>
      <c r="M38" s="20"/>
      <c r="N38" s="33"/>
      <c r="O38" s="20"/>
      <c r="P38" s="33"/>
      <c r="Q38" s="34">
        <f t="shared" si="3"/>
        <v>0</v>
      </c>
      <c r="R38" s="13">
        <f>R39+R40</f>
        <v>19587400</v>
      </c>
      <c r="S38" s="21">
        <f>S39</f>
        <v>91000</v>
      </c>
      <c r="T38" s="20"/>
      <c r="U38" s="87"/>
      <c r="V38" s="20"/>
      <c r="W38" s="34"/>
      <c r="X38" s="34"/>
      <c r="Y38" s="20">
        <f t="shared" si="12"/>
        <v>91000</v>
      </c>
      <c r="Z38" s="20">
        <f>Z39</f>
        <v>5865468</v>
      </c>
      <c r="AA38" s="20">
        <f>AA39</f>
        <v>112200</v>
      </c>
      <c r="AB38" s="20">
        <f>AB39</f>
        <v>2399433.2</v>
      </c>
      <c r="AC38" s="33"/>
      <c r="AD38" s="20">
        <f>AD39</f>
        <v>19296</v>
      </c>
      <c r="AE38" s="20">
        <f>AE39</f>
        <v>9648</v>
      </c>
      <c r="AF38" s="50">
        <f t="shared" si="6"/>
        <v>8497045.2</v>
      </c>
      <c r="AG38" s="13">
        <v>16722000</v>
      </c>
      <c r="AH38" s="21"/>
      <c r="AI38" s="20"/>
      <c r="AJ38" s="87"/>
      <c r="AK38" s="20"/>
      <c r="AL38" s="34"/>
      <c r="AM38" s="13">
        <f>AM39</f>
        <v>288000</v>
      </c>
      <c r="AN38" s="20">
        <f t="shared" si="10"/>
        <v>288000</v>
      </c>
      <c r="AO38" s="20">
        <f>AO40</f>
        <v>14802000</v>
      </c>
      <c r="AP38" s="20"/>
      <c r="AQ38" s="20"/>
      <c r="AR38" s="33"/>
      <c r="AS38" s="20"/>
      <c r="AT38" s="20"/>
      <c r="AU38" s="13">
        <f t="shared" si="9"/>
        <v>15090000</v>
      </c>
      <c r="AV38" s="60" t="s">
        <v>52</v>
      </c>
      <c r="AW38" s="88"/>
      <c r="AX38" s="87"/>
      <c r="AY38" s="33"/>
      <c r="AZ38" s="87"/>
      <c r="BA38" s="33"/>
      <c r="BB38" s="34"/>
      <c r="BC38" s="34"/>
      <c r="BD38" s="33">
        <f t="shared" si="14"/>
        <v>0</v>
      </c>
      <c r="BE38" s="55"/>
      <c r="BF38" s="33"/>
      <c r="BG38" s="33"/>
      <c r="BH38" s="33"/>
      <c r="BI38" s="33"/>
      <c r="BJ38" s="33"/>
      <c r="BK38" s="34">
        <f>BD38+BE38+BF38+BG38+BH38+BI38+BJ38</f>
        <v>0</v>
      </c>
      <c r="BL38" s="80" t="s">
        <v>84</v>
      </c>
    </row>
    <row r="39" spans="1:63" ht="12.75">
      <c r="A39" s="30">
        <v>2</v>
      </c>
      <c r="B39" s="31" t="s">
        <v>85</v>
      </c>
      <c r="C39" s="88">
        <v>5300000</v>
      </c>
      <c r="D39" s="87"/>
      <c r="E39" s="33"/>
      <c r="F39" s="87"/>
      <c r="G39" s="33"/>
      <c r="H39" s="34"/>
      <c r="I39" s="34"/>
      <c r="J39" s="34"/>
      <c r="K39" s="55"/>
      <c r="L39" s="33"/>
      <c r="M39" s="33"/>
      <c r="N39" s="33"/>
      <c r="O39" s="33"/>
      <c r="P39" s="33"/>
      <c r="Q39" s="34">
        <f t="shared" si="3"/>
        <v>0</v>
      </c>
      <c r="R39" s="88">
        <v>9587400</v>
      </c>
      <c r="S39" s="87">
        <v>91000</v>
      </c>
      <c r="T39" s="33"/>
      <c r="U39" s="87"/>
      <c r="V39" s="33"/>
      <c r="W39" s="34"/>
      <c r="X39" s="34"/>
      <c r="Y39" s="20">
        <f t="shared" si="12"/>
        <v>91000</v>
      </c>
      <c r="Z39" s="55">
        <f>4790508+956400+118560</f>
        <v>5865468</v>
      </c>
      <c r="AA39" s="33">
        <v>112200</v>
      </c>
      <c r="AB39" s="33">
        <f>106266+2065129.2+119990+108048</f>
        <v>2399433.2</v>
      </c>
      <c r="AC39" s="33"/>
      <c r="AD39" s="33">
        <v>19296</v>
      </c>
      <c r="AE39" s="33">
        <v>9648</v>
      </c>
      <c r="AF39" s="43">
        <f t="shared" si="6"/>
        <v>8497045.2</v>
      </c>
      <c r="AG39" s="88">
        <v>1920000</v>
      </c>
      <c r="AH39" s="87"/>
      <c r="AI39" s="33"/>
      <c r="AJ39" s="87"/>
      <c r="AK39" s="33"/>
      <c r="AL39" s="34"/>
      <c r="AM39" s="34">
        <f>288000</f>
        <v>288000</v>
      </c>
      <c r="AN39" s="33">
        <f t="shared" si="10"/>
        <v>288000</v>
      </c>
      <c r="AO39" s="55"/>
      <c r="AP39" s="33"/>
      <c r="AQ39" s="33"/>
      <c r="AR39" s="33"/>
      <c r="AS39" s="33"/>
      <c r="AT39" s="33"/>
      <c r="AU39" s="34">
        <f t="shared" si="9"/>
        <v>288000</v>
      </c>
      <c r="AV39" s="34"/>
      <c r="AW39" s="88"/>
      <c r="AX39" s="87"/>
      <c r="AY39" s="33"/>
      <c r="AZ39" s="33"/>
      <c r="BA39" s="34"/>
      <c r="BB39" s="34"/>
      <c r="BC39" s="34"/>
      <c r="BD39" s="20">
        <f t="shared" si="14"/>
        <v>0</v>
      </c>
      <c r="BE39" s="55"/>
      <c r="BF39" s="33"/>
      <c r="BG39" s="33"/>
      <c r="BH39" s="33"/>
      <c r="BI39" s="33"/>
      <c r="BJ39" s="33"/>
      <c r="BK39" s="34">
        <f>BD39+BE39+BF39+BG39+BH39+BI39+BJ39</f>
        <v>0</v>
      </c>
    </row>
    <row r="40" spans="1:63" ht="13.5">
      <c r="A40" s="30">
        <v>3</v>
      </c>
      <c r="B40" s="31" t="s">
        <v>86</v>
      </c>
      <c r="C40" s="88">
        <v>9000000</v>
      </c>
      <c r="D40" s="87"/>
      <c r="E40" s="33"/>
      <c r="F40" s="33"/>
      <c r="G40" s="34"/>
      <c r="H40" s="34"/>
      <c r="I40" s="34"/>
      <c r="J40" s="34"/>
      <c r="K40" s="55"/>
      <c r="L40" s="33"/>
      <c r="M40" s="33"/>
      <c r="N40" s="33"/>
      <c r="O40" s="33"/>
      <c r="P40" s="33"/>
      <c r="Q40" s="34">
        <f t="shared" si="3"/>
        <v>0</v>
      </c>
      <c r="R40" s="88">
        <v>10000000</v>
      </c>
      <c r="S40" s="87"/>
      <c r="T40" s="33"/>
      <c r="U40" s="33"/>
      <c r="V40" s="34"/>
      <c r="W40" s="34"/>
      <c r="X40" s="34"/>
      <c r="Y40" s="20">
        <f t="shared" si="12"/>
        <v>0</v>
      </c>
      <c r="Z40" s="55"/>
      <c r="AA40" s="33"/>
      <c r="AB40" s="33"/>
      <c r="AC40" s="33"/>
      <c r="AD40" s="33"/>
      <c r="AE40" s="33"/>
      <c r="AF40" s="43">
        <f t="shared" si="6"/>
        <v>0</v>
      </c>
      <c r="AG40" s="88">
        <v>14802000</v>
      </c>
      <c r="AH40" s="87"/>
      <c r="AI40" s="33"/>
      <c r="AJ40" s="33"/>
      <c r="AK40" s="34"/>
      <c r="AL40" s="34"/>
      <c r="AM40" s="34"/>
      <c r="AN40" s="20">
        <f t="shared" si="10"/>
        <v>0</v>
      </c>
      <c r="AO40" s="55">
        <v>14802000</v>
      </c>
      <c r="AP40" s="33"/>
      <c r="AQ40" s="33"/>
      <c r="AR40" s="33"/>
      <c r="AS40" s="33"/>
      <c r="AT40" s="33"/>
      <c r="AU40" s="34">
        <f t="shared" si="9"/>
        <v>14802000</v>
      </c>
      <c r="AV40" s="34"/>
      <c r="AW40" s="89"/>
      <c r="AX40" s="87"/>
      <c r="AY40" s="33"/>
      <c r="AZ40" s="33"/>
      <c r="BA40" s="34"/>
      <c r="BB40" s="34"/>
      <c r="BC40" s="34"/>
      <c r="BD40" s="20">
        <f t="shared" si="14"/>
        <v>0</v>
      </c>
      <c r="BE40" s="55"/>
      <c r="BF40" s="33"/>
      <c r="BG40" s="33"/>
      <c r="BH40" s="33"/>
      <c r="BI40" s="33"/>
      <c r="BJ40" s="33"/>
      <c r="BK40" s="34">
        <f>BD40+BE40+BF40+BG40+BH40+BI40+BJ40</f>
        <v>0</v>
      </c>
    </row>
    <row r="41" spans="1:63" ht="13.5">
      <c r="A41" s="22" t="s">
        <v>87</v>
      </c>
      <c r="B41" s="31" t="s">
        <v>88</v>
      </c>
      <c r="C41" s="89">
        <v>0</v>
      </c>
      <c r="D41" s="87"/>
      <c r="E41" s="33"/>
      <c r="F41" s="33"/>
      <c r="G41" s="34"/>
      <c r="H41" s="34"/>
      <c r="I41" s="34"/>
      <c r="J41" s="34"/>
      <c r="K41" s="55"/>
      <c r="L41" s="33"/>
      <c r="M41" s="33"/>
      <c r="N41" s="33"/>
      <c r="O41" s="33"/>
      <c r="P41" s="33"/>
      <c r="Q41" s="34">
        <f t="shared" si="3"/>
        <v>0</v>
      </c>
      <c r="R41" s="89"/>
      <c r="S41" s="87"/>
      <c r="T41" s="33"/>
      <c r="U41" s="33"/>
      <c r="V41" s="34"/>
      <c r="W41" s="34"/>
      <c r="X41" s="34"/>
      <c r="Y41" s="20">
        <f t="shared" si="12"/>
        <v>0</v>
      </c>
      <c r="Z41" s="55"/>
      <c r="AA41" s="33"/>
      <c r="AB41" s="33"/>
      <c r="AC41" s="33"/>
      <c r="AD41" s="33"/>
      <c r="AE41" s="33"/>
      <c r="AF41" s="43">
        <f t="shared" si="6"/>
        <v>0</v>
      </c>
      <c r="AG41" s="89"/>
      <c r="AH41" s="87"/>
      <c r="AI41" s="33"/>
      <c r="AJ41" s="33"/>
      <c r="AK41" s="34"/>
      <c r="AL41" s="34"/>
      <c r="AM41" s="34"/>
      <c r="AN41" s="20">
        <f t="shared" si="10"/>
        <v>0</v>
      </c>
      <c r="AO41" s="55"/>
      <c r="AP41" s="33"/>
      <c r="AQ41" s="33"/>
      <c r="AR41" s="33"/>
      <c r="AS41" s="33"/>
      <c r="AT41" s="33"/>
      <c r="AU41" s="34">
        <f t="shared" si="9"/>
        <v>0</v>
      </c>
      <c r="AV41" s="34"/>
      <c r="AW41" s="90"/>
      <c r="AX41" s="87"/>
      <c r="AY41" s="33"/>
      <c r="AZ41" s="33"/>
      <c r="BA41" s="34"/>
      <c r="BB41" s="34"/>
      <c r="BC41" s="34"/>
      <c r="BD41" s="20"/>
      <c r="BE41" s="33"/>
      <c r="BF41" s="33"/>
      <c r="BG41" s="33"/>
      <c r="BH41" s="33"/>
      <c r="BI41" s="33"/>
      <c r="BJ41" s="33"/>
      <c r="BK41" s="34">
        <f>BD41+BE41+BF41+BG41+BH41+BI41+BJ41</f>
        <v>0</v>
      </c>
    </row>
    <row r="42" spans="1:63" ht="13.5">
      <c r="A42" s="91"/>
      <c r="B42" s="17" t="s">
        <v>89</v>
      </c>
      <c r="C42" s="90"/>
      <c r="D42" s="87"/>
      <c r="E42" s="33"/>
      <c r="F42" s="33"/>
      <c r="G42" s="34"/>
      <c r="H42" s="34"/>
      <c r="I42" s="34"/>
      <c r="J42" s="34"/>
      <c r="K42" s="33"/>
      <c r="L42" s="33"/>
      <c r="M42" s="33"/>
      <c r="N42" s="33"/>
      <c r="O42" s="33"/>
      <c r="P42" s="33"/>
      <c r="Q42" s="34">
        <f t="shared" si="3"/>
        <v>0</v>
      </c>
      <c r="R42" s="90"/>
      <c r="S42" s="87"/>
      <c r="T42" s="33"/>
      <c r="U42" s="33"/>
      <c r="V42" s="34"/>
      <c r="W42" s="34"/>
      <c r="X42" s="34"/>
      <c r="Y42" s="20">
        <f t="shared" si="12"/>
        <v>0</v>
      </c>
      <c r="Z42" s="33"/>
      <c r="AA42" s="33"/>
      <c r="AB42" s="33"/>
      <c r="AC42" s="33"/>
      <c r="AD42" s="33"/>
      <c r="AE42" s="33"/>
      <c r="AF42" s="43">
        <f t="shared" si="6"/>
        <v>0</v>
      </c>
      <c r="AG42" s="90"/>
      <c r="AH42" s="87"/>
      <c r="AI42" s="33"/>
      <c r="AJ42" s="33"/>
      <c r="AK42" s="34"/>
      <c r="AL42" s="34"/>
      <c r="AM42" s="34"/>
      <c r="AN42" s="20"/>
      <c r="AO42" s="33"/>
      <c r="AP42" s="33"/>
      <c r="AQ42" s="33"/>
      <c r="AR42" s="33"/>
      <c r="AS42" s="33"/>
      <c r="AT42" s="33"/>
      <c r="AU42" s="34">
        <f t="shared" si="9"/>
        <v>0</v>
      </c>
      <c r="AV42" s="34"/>
      <c r="AW42" s="92"/>
      <c r="AX42" s="20">
        <f>AW3+AX5-AX37</f>
        <v>21325867.54</v>
      </c>
      <c r="AY42" s="20">
        <f>AX42+AY5-AY37</f>
        <v>24323470.07</v>
      </c>
      <c r="AZ42" s="20">
        <f>AY42+AZ5-AZ37</f>
        <v>16702245.510000002</v>
      </c>
      <c r="BA42" s="20">
        <f>AZ42+BA5-BA37</f>
        <v>6567355.150000002</v>
      </c>
      <c r="BB42" s="20">
        <f>BA42+BB5-BB37</f>
        <v>30334237.130000006</v>
      </c>
      <c r="BC42" s="20">
        <f>BB42+BC5-BC37</f>
        <v>21521932.480000004</v>
      </c>
      <c r="BD42" s="20">
        <f>AW3+BD5-BD37</f>
        <v>21521932.48000001</v>
      </c>
      <c r="BE42" s="20">
        <f>BD42+BE5-BE37</f>
        <v>11099679.760000011</v>
      </c>
      <c r="BF42" s="20">
        <f>BE42+BF5-BF37</f>
        <v>29143835.310000014</v>
      </c>
      <c r="BG42" s="20">
        <f>BF42+BG5-BG37</f>
        <v>20113109.620000012</v>
      </c>
      <c r="BH42" s="20">
        <f>BG42+BH5-BH37</f>
        <v>30988578.34000001</v>
      </c>
      <c r="BI42" s="20">
        <f>BH42+BI5-BI37</f>
        <v>20995517.34000001</v>
      </c>
      <c r="BJ42" s="20"/>
      <c r="BK42" s="13">
        <f>AW3+BK5-BK37</f>
        <v>30176034.879999995</v>
      </c>
    </row>
    <row r="43" spans="2:48" ht="13.5">
      <c r="B43" s="93" t="s">
        <v>90</v>
      </c>
      <c r="C43" s="92">
        <f>C37+C38</f>
        <v>175088200</v>
      </c>
      <c r="D43" s="20">
        <f>C4+D5-D37</f>
        <v>68204736</v>
      </c>
      <c r="E43" s="15">
        <f>D43+E5-E37</f>
        <v>60141328</v>
      </c>
      <c r="F43" s="15">
        <f>E43+F5-F37</f>
        <v>56944083</v>
      </c>
      <c r="G43" s="82">
        <f>F43+G5-G37</f>
        <v>47343237</v>
      </c>
      <c r="H43" s="15">
        <f>G43+H5-H37</f>
        <v>40704790</v>
      </c>
      <c r="I43" s="15">
        <f>H43+I5-I37</f>
        <v>36673734</v>
      </c>
      <c r="J43" s="15">
        <f>C4+J5-J37</f>
        <v>36673734</v>
      </c>
      <c r="K43" s="20">
        <f aca="true" t="shared" si="21" ref="K43:P43">J43+K5-K37</f>
        <v>28568351</v>
      </c>
      <c r="L43" s="20">
        <f t="shared" si="21"/>
        <v>21717278</v>
      </c>
      <c r="M43" s="20">
        <f t="shared" si="21"/>
        <v>12269128</v>
      </c>
      <c r="N43" s="20">
        <f t="shared" si="21"/>
        <v>7998263.2</v>
      </c>
      <c r="O43" s="20">
        <f t="shared" si="21"/>
        <v>32244231.200000003</v>
      </c>
      <c r="P43" s="20">
        <f t="shared" si="21"/>
        <v>63402460.2</v>
      </c>
      <c r="Q43" s="13">
        <f>C4+Q5-Q37</f>
        <v>63402460.2</v>
      </c>
      <c r="R43" s="92">
        <f>R37+R38</f>
        <v>189910600</v>
      </c>
      <c r="S43" s="20">
        <f>Q43+S5-S37-S38</f>
        <v>59323703</v>
      </c>
      <c r="T43" s="15">
        <f>S43+T5-T37</f>
        <v>51112265.4</v>
      </c>
      <c r="U43" s="15">
        <f>T43+U5-U37</f>
        <v>43079777.4</v>
      </c>
      <c r="V43" s="82">
        <f>U43+V5-V37</f>
        <v>42719021.43</v>
      </c>
      <c r="W43" s="15">
        <f>V43+W5-W37</f>
        <v>29716056.43</v>
      </c>
      <c r="X43" s="15">
        <f>W43+X5-X37</f>
        <v>26348208.43</v>
      </c>
      <c r="Y43" s="15">
        <f>Q43+Y5-Y37-Y38</f>
        <v>26348208.430000007</v>
      </c>
      <c r="Z43" s="20">
        <f>Y43+Z5-Z37-Z38</f>
        <v>12181923.880000006</v>
      </c>
      <c r="AA43" s="20">
        <f>Z43+AA5-AA37-AA38</f>
        <v>30597116.38000001</v>
      </c>
      <c r="AB43" s="20">
        <f>AA43+AB5-AB37-AB38</f>
        <v>22713792.50000001</v>
      </c>
      <c r="AC43" s="20">
        <f>AB43+AC5-AC37</f>
        <v>6335303.500000011</v>
      </c>
      <c r="AD43" s="20">
        <f>AC43+AD5-AD37-AD38</f>
        <v>9156236.500000011</v>
      </c>
      <c r="AE43" s="20">
        <f>AD43+AE5-AE37-AE38</f>
        <v>5301749.610000011</v>
      </c>
      <c r="AF43" s="50">
        <f>R4+AF5-AF37-AF38-25</f>
        <v>5301722.41</v>
      </c>
      <c r="AG43" s="92">
        <f>AG37+AG38</f>
        <v>179935200</v>
      </c>
      <c r="AH43" s="20">
        <f>5301722+30176172-11008572</f>
        <v>24469322</v>
      </c>
      <c r="AI43" s="20">
        <f>AH43+AI5-AI37</f>
        <v>42835732.4</v>
      </c>
      <c r="AJ43" s="20">
        <f>AI43+AJ5-AJ37</f>
        <v>34615710.4</v>
      </c>
      <c r="AK43" s="20">
        <f>AJ43+AK5-AK37</f>
        <v>26641270.549999997</v>
      </c>
      <c r="AL43" s="20">
        <f>AK43+AL5-AL37</f>
        <v>19976772.629999995</v>
      </c>
      <c r="AM43" s="20">
        <f>AL43+AM5-AM37-AM38</f>
        <v>16931247.189999994</v>
      </c>
      <c r="AN43" s="20">
        <f>AG4+AN5-AN37-AN38</f>
        <v>16931260.759999998</v>
      </c>
      <c r="AO43" s="20">
        <f>AN43+AO5-AO37-AO38</f>
        <v>25391341.759999998</v>
      </c>
      <c r="AP43" s="20">
        <f>AO43+AP5-AP37-AP38</f>
        <v>16687232.139999997</v>
      </c>
      <c r="AQ43" s="20">
        <f>AP43+AQ5-AQ37-AQ38</f>
        <v>19359118.33</v>
      </c>
      <c r="AR43" s="20">
        <f>AQ43+AR5-AR37</f>
        <v>12591036.299999997</v>
      </c>
      <c r="AS43" s="20">
        <f>AR43+AS5-AS37-AS38</f>
        <v>4160470.009999998</v>
      </c>
      <c r="AT43" s="20">
        <f>AS43+AT5-AT37-AT38</f>
        <v>13726901.169999998</v>
      </c>
      <c r="AU43" s="13">
        <f>AG4+AU5-AU37-AU38</f>
        <v>13726901.169999987</v>
      </c>
      <c r="AV43" s="13"/>
    </row>
    <row r="44" spans="40:56" ht="12.75">
      <c r="AN44" s="54"/>
      <c r="BC44" s="80" t="s">
        <v>34</v>
      </c>
      <c r="BD44" s="54">
        <f>BD7+BD9+BD11+BD12+BD13</f>
        <v>69901515.9</v>
      </c>
    </row>
  </sheetData>
  <sheetProtection/>
  <mergeCells count="23">
    <mergeCell ref="A2:A3"/>
    <mergeCell ref="B2:B3"/>
    <mergeCell ref="C2:I2"/>
    <mergeCell ref="J2:J3"/>
    <mergeCell ref="K2:P2"/>
    <mergeCell ref="AO2:AT2"/>
    <mergeCell ref="AG1:AU1"/>
    <mergeCell ref="AW1:BC1"/>
    <mergeCell ref="BD1:BD2"/>
    <mergeCell ref="BE1:BJ1"/>
    <mergeCell ref="R2:X2"/>
    <mergeCell ref="Y2:Y3"/>
    <mergeCell ref="Z2:AE2"/>
    <mergeCell ref="AG2:AM2"/>
    <mergeCell ref="AN2:AN3"/>
    <mergeCell ref="BP26:BQ26"/>
    <mergeCell ref="AU2:AU3"/>
    <mergeCell ref="AV2:AV3"/>
    <mergeCell ref="BP4:BQ4"/>
    <mergeCell ref="BL7:BL8"/>
    <mergeCell ref="BM7:BM8"/>
    <mergeCell ref="BP11:BQ11"/>
    <mergeCell ref="BK1:BK2"/>
  </mergeCells>
  <printOptions/>
  <pageMargins left="0" right="0" top="0" bottom="0" header="0.55" footer="0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Julinda Carka</dc:creator>
  <cp:keywords/>
  <dc:description/>
  <cp:lastModifiedBy>Julinda Carka</cp:lastModifiedBy>
  <dcterms:created xsi:type="dcterms:W3CDTF">2019-11-12T07:47:42Z</dcterms:created>
  <dcterms:modified xsi:type="dcterms:W3CDTF">2019-11-12T08:01:20Z</dcterms:modified>
  <cp:category/>
  <cp:version/>
  <cp:contentType/>
  <cp:contentStatus/>
</cp:coreProperties>
</file>